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ał.nr 1" sheetId="1" r:id="rId1"/>
    <sheet name="Zał.nr 2" sheetId="2" r:id="rId2"/>
    <sheet name="Zał.nr 3" sheetId="3" r:id="rId3"/>
    <sheet name="Zał.nr 4" sheetId="4" r:id="rId4"/>
    <sheet name="Prognoza długu" sheetId="5" r:id="rId5"/>
    <sheet name="Zał.nr 5" sheetId="6" r:id="rId6"/>
    <sheet name="Zał.nr 6" sheetId="7" r:id="rId7"/>
  </sheets>
  <externalReferences>
    <externalReference r:id="rId10"/>
  </externalReferences>
  <definedNames>
    <definedName name="_xlnm.Print_Area" localSheetId="4">'Prognoza długu'!$B$2:$L$161</definedName>
    <definedName name="_xlnm.Print_Area" localSheetId="0">'Zał.nr 1'!$A$1:$N$131</definedName>
    <definedName name="_xlnm.Print_Area" localSheetId="1">'Zał.nr 2'!$B$1:$P$382</definedName>
    <definedName name="_xlnm.Print_Area" localSheetId="2">'Zał.nr 3'!$A$1:$Y$36</definedName>
    <definedName name="_xlnm.Print_Area" localSheetId="3">'Zał.nr 4'!$A$3:$I$15</definedName>
    <definedName name="_xlnm.Print_Area" localSheetId="5">'Zał.nr 5'!$B$1:$I$114</definedName>
    <definedName name="_xlnm.Print_Area" localSheetId="6">'Zał.nr 6'!$B$3:$U$57</definedName>
    <definedName name="_xlnm.Print_Titles" localSheetId="0">'Zał.nr 1'!$3:$4</definedName>
    <definedName name="_xlnm.Print_Titles" localSheetId="1">'Zał.nr 2'!$3:$4</definedName>
  </definedNames>
  <calcPr fullCalcOnLoad="1"/>
</workbook>
</file>

<file path=xl/sharedStrings.xml><?xml version="1.0" encoding="utf-8"?>
<sst xmlns="http://schemas.openxmlformats.org/spreadsheetml/2006/main" count="1139" uniqueCount="530">
  <si>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</si>
  <si>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</si>
  <si>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</si>
  <si>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</si>
  <si>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</si>
  <si>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</si>
  <si>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</si>
  <si>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</si>
  <si>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</si>
  <si>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</si>
  <si>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</si>
  <si>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</si>
  <si>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</si>
  <si>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</si>
  <si>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</si>
  <si>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</si>
  <si>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</si>
  <si>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</si>
  <si>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</si>
  <si>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</si>
  <si>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</si>
  <si>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</si>
  <si>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</si>
  <si>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</si>
  <si>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</si>
  <si>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</si>
  <si>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</si>
  <si>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</si>
  <si>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</si>
  <si>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</si>
  <si>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</si>
  <si>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</si>
  <si>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</si>
  <si>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</si>
  <si>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</si>
  <si>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</si>
  <si>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</si>
  <si>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</si>
  <si>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</si>
  <si>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</si>
  <si>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</si>
  <si>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</si>
  <si>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</si>
  <si>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</si>
  <si>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</si>
  <si>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</si>
  <si>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</si>
  <si>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</si>
  <si>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</si>
  <si>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</si>
  <si>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</si>
  <si>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</si>
  <si>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</si>
  <si>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</si>
  <si>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</si>
  <si>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</si>
  <si>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</si>
  <si>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</si>
  <si>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</si>
  <si>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</si>
  <si>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</si>
  <si>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</si>
  <si>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</si>
  <si>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</si>
  <si>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</si>
  <si>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</si>
  <si>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</si>
  <si>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</si>
  <si>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</si>
  <si>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</si>
  <si>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</si>
  <si>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</si>
  <si>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</si>
  <si>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</si>
  <si>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</si>
  <si>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</si>
  <si>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</si>
  <si>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</si>
  <si>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</si>
  <si>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</si>
  <si>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</si>
  <si>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</si>
  <si>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Wykup działek</t>
  </si>
  <si>
    <t>Wykup dróg</t>
  </si>
  <si>
    <t xml:space="preserve">Zakup sprzętu komputerowego 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</si>
  <si>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</si>
  <si>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</si>
  <si>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</si>
  <si>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</si>
  <si>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Ochrona zdrowia</t>
  </si>
  <si>
    <t>Przeciwdziałanie alkoholizmowi</t>
  </si>
  <si>
    <t>Przeniesienie do działu 010-01010-6050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</si>
  <si>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</si>
  <si>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</si>
  <si>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</si>
  <si>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</si>
  <si>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</si>
  <si>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</si>
  <si>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</si>
  <si>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</si>
  <si>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</si>
  <si>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</si>
  <si>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</si>
  <si>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</si>
  <si>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</si>
  <si>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</si>
  <si>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</si>
  <si>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</si>
  <si>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</si>
  <si>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</si>
  <si>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</si>
  <si>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</si>
  <si>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</si>
  <si>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</si>
  <si>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</si>
  <si>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</si>
  <si>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</si>
  <si>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</si>
  <si>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</si>
  <si>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</si>
  <si>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</si>
  <si>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</si>
  <si>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</si>
  <si>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</si>
  <si>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</si>
  <si>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</si>
  <si>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</si>
  <si>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</si>
  <si>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</si>
  <si>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</si>
  <si>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</si>
  <si>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</si>
  <si>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</si>
  <si>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</si>
  <si>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</si>
  <si>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</si>
  <si>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</si>
  <si>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</si>
  <si>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</si>
  <si>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</si>
  <si>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</si>
  <si>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</si>
  <si>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</si>
  <si>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</si>
  <si>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</si>
  <si>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</si>
  <si>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</si>
  <si>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</si>
  <si>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</si>
  <si>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</si>
  <si>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</si>
  <si>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</si>
  <si>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</si>
  <si>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</si>
  <si>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</si>
  <si>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</si>
  <si>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</si>
  <si>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</si>
  <si>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</si>
  <si>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</si>
  <si>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</si>
  <si>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</si>
  <si>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</si>
  <si>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</si>
  <si>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</si>
  <si>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</si>
  <si>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</si>
  <si>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</si>
  <si>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</si>
  <si>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</si>
  <si>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</si>
  <si>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</si>
  <si>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</si>
  <si>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</si>
  <si>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</si>
  <si>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</si>
  <si>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</si>
  <si>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</si>
  <si>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</si>
  <si>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</si>
  <si>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</si>
  <si>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</si>
  <si>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</si>
  <si>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</si>
  <si>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</si>
  <si>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</si>
  <si>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</si>
  <si>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</si>
  <si>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</si>
  <si>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</si>
  <si>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</si>
  <si>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</si>
  <si>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</si>
  <si>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</si>
  <si>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</si>
  <si>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</si>
  <si>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</si>
  <si>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</si>
  <si>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</si>
  <si>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</si>
  <si>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</si>
  <si>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</si>
  <si>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</si>
  <si>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</si>
  <si>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</si>
  <si>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</si>
  <si>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</si>
  <si>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</si>
  <si>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</si>
  <si>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</si>
  <si>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</si>
  <si>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</si>
  <si>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</si>
  <si>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</si>
  <si>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</si>
  <si>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</si>
  <si>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</si>
  <si>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</si>
  <si>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Plan wydatków majątkowych na 2008 r. po zmianach</t>
  </si>
  <si>
    <t>Budowa sieci wodociągowej w m.K-rz ul.Szkolna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</si>
  <si>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</si>
  <si>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</si>
  <si>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</si>
  <si>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</si>
  <si>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</si>
  <si>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</si>
  <si>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</si>
  <si>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</si>
  <si>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</si>
  <si>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Budowa centrum rekreacyjno-sportowego w rejonie ul.Leśnej w Kaźmierzu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</si>
  <si>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</si>
  <si>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</si>
  <si>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</si>
  <si>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</si>
  <si>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</si>
  <si>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</si>
  <si>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Rekompensaty utraconych dochodów w podatkach i opłatach lokalnych</t>
  </si>
  <si>
    <t>Budowa sieci gazowej (bez przyłączy) od m.Pólko przez m.Piersko do m.Bytyń</t>
  </si>
  <si>
    <t>Monitoring wizyjny w Gimnazjum w Kaźmierzu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</si>
  <si>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</si>
  <si>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</si>
  <si>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</si>
  <si>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</si>
  <si>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</si>
  <si>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</si>
  <si>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</si>
  <si>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</si>
  <si>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</si>
  <si>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Budowa kotłowni gazowej  w budynku Ośrodka Zdrowia w Kaźmierzu</t>
  </si>
  <si>
    <t>Budowa kompleksu boisk wielofunkcyjnych Orlik 2012</t>
  </si>
  <si>
    <t>Umowy darowizny</t>
  </si>
  <si>
    <t>DOCHODY GMINY KAŹMIERZ W 2009r.</t>
  </si>
  <si>
    <t>Zał.Nr 1 do Uchwału Nr XXXVI/186/09 Rady Gminy Kaźmierz z dnia 25.03.2009 r.</t>
  </si>
  <si>
    <t xml:space="preserve">Plan dochodów budżetowych na 2009 r.               </t>
  </si>
  <si>
    <t>Wpływy z nowo ustalonych decyzji</t>
  </si>
  <si>
    <t>Rezygnacja ze sprzedaży dz.nr 918 położonej w Kaźmierzu</t>
  </si>
  <si>
    <t>Rozliczenia z lat ubiegłych</t>
  </si>
  <si>
    <t>Zmiany na podsatwie aktualizacj deklaracji podatkowych</t>
  </si>
  <si>
    <t>Załącznik do pisma Ministra Finansów z dnia 31.01.2009 r., znak ST3-4820/1/09</t>
  </si>
  <si>
    <t>Zmniejszenie dochodów z tytułu odsetek z lokat - likwidacja lokat</t>
  </si>
  <si>
    <t>Nadwyżka środków obrotowych zakładu Usług Komunalnych w Kaźmierzu</t>
  </si>
  <si>
    <t>Zmniejszenie dotacji na świadczenia rodzinne i alimentacyjne (pismo Wojewody Wielkopolskiego , znak FB.I-6.3010-4/09 z dnia 10.02.2009 r.)</t>
  </si>
  <si>
    <t>Zwiększenie dotacji na składki na ubezpieczenie zdrowotne (pismo Wojewody Wielkopolskiego, znak FB.I-6.3010-4/09 z dnia 10.02.2009 r.)</t>
  </si>
  <si>
    <t>Zmniejszenie dotacji na zasiłki i pomoc w naturze (pismo Wojewody Wielkopolskiego, znak FB.I-6.3010-4/09 z dnia 10.02.2009 r.)</t>
  </si>
  <si>
    <t>Zwroty za pobyt w Domach Pomocy Społecznej i pomocy rzeczowej z lat ubiegłych</t>
  </si>
  <si>
    <t>Dotacja na dofinansowanie świadczeń pomocy materialnej dla uczniów o charakterze socjalnym (pismo Wojewody Wielkopolskiego znak FB.I-7.3011-40/09 z dnia 20.02.2009)</t>
  </si>
  <si>
    <t>Środki z Departamentu Sportu i Turystyki Urzędu  Marszałkowskiego Województwa Wielkopolskiego na zadanie pn."Moje boisko - ORLIK 2012" (Uchwała Nr XXXI/434/2009 Sejmiku Województwa Wielkopolskiego z dnia 26.01.2009 r.)</t>
  </si>
  <si>
    <t>WYDATKI GMINY KAŹMIERZ W 2009 r.</t>
  </si>
  <si>
    <t>Zał.Nr 2 do Uchwału Nr XXXVI/186/09 Rady Gminy Kaźmierz z dnia 25.03.2009 r.</t>
  </si>
  <si>
    <t xml:space="preserve">Plan wydatków budżetowych na 2009 r. </t>
  </si>
  <si>
    <t>Zmniejszenie wydatków na prace melioracyjne na terenie Gminy</t>
  </si>
  <si>
    <t>Zmniejszenie wydatków na utylizację padliny zgodnie z umową Farmutil HS</t>
  </si>
  <si>
    <t>Zmniejszenie wydatków na organizację Dożynek Gminnych 2009</t>
  </si>
  <si>
    <t>Drogi publiczne wojewódzkie</t>
  </si>
  <si>
    <t>Zwiększenie środków na pomoc finansową dla Powiatu Szamotulskiego na budowę dróg i chodników leżących na terenie Gminy Kaźmierz</t>
  </si>
  <si>
    <t xml:space="preserve">Zmniejszenie środków na bieżące wydatki Biura Rady </t>
  </si>
  <si>
    <t>Zmniejszenie środków na bieżące wydatki Urzędu Gminy</t>
  </si>
  <si>
    <t>Środki na zadanie pn."Budowa systemu ogrzewania świetlicy w Gaju Wielkim wraz z jeje wyposażeniem i infrastrukturą towarzyzsącą"</t>
  </si>
  <si>
    <t>Zmniejszenie dotacji dla jednostek OSP na zakup sprzetu pożarniczego i ratowniczego z dotacjami z MSWiA, ZOSP</t>
  </si>
  <si>
    <t>Rozwiązanie rezerwy na zarządzanie kryzysowe</t>
  </si>
  <si>
    <t>Zwiększenie rezerwy ogólnej.</t>
  </si>
  <si>
    <t>Zmniejszenie środków na bieżące potrzeby szkół podstawowych</t>
  </si>
  <si>
    <t>Rezygnacja z zadań inwestycyjnych w Szkołach Podstawowych w Bytyniu - adaptacja poddasza, Sokolnikach Wielkich - wymiana okien i w Gaju Wielkim -modernizacja kotłowni</t>
  </si>
  <si>
    <r>
      <t xml:space="preserve">Zmniejsza się wydatki na                                                                              * zakup laptopa dla SP w Sokolnikach Wielkich o </t>
    </r>
    <r>
      <rPr>
        <b/>
        <sz val="8"/>
        <rFont val="Times New Roman"/>
        <family val="1"/>
      </rPr>
      <t>1.500,00</t>
    </r>
    <r>
      <rPr>
        <sz val="8"/>
        <rFont val="Times New Roman"/>
        <family val="1"/>
      </rPr>
      <t xml:space="preserve">                                                                                * zakup projektora dla SP w Sokolnikch Wielkich o </t>
    </r>
    <r>
      <rPr>
        <b/>
        <sz val="8"/>
        <rFont val="Times New Roman"/>
        <family val="1"/>
      </rPr>
      <t xml:space="preserve">3.000,00 </t>
    </r>
    <r>
      <rPr>
        <sz val="8"/>
        <rFont val="Times New Roman"/>
        <family val="1"/>
      </rPr>
      <t xml:space="preserve">                                                                        oraz zabezpiecza się środki na zakup laptopa dla SP w Gaju Wielkim w wysokości </t>
    </r>
    <r>
      <rPr>
        <b/>
        <sz val="8"/>
        <rFont val="Times New Roman"/>
        <family val="1"/>
      </rPr>
      <t>1.800,00</t>
    </r>
    <r>
      <rPr>
        <sz val="8"/>
        <rFont val="Times New Roman"/>
        <family val="1"/>
      </rPr>
      <t xml:space="preserve">                                                                                        </t>
    </r>
  </si>
  <si>
    <t>Zmniejszenie środków na bieżące potrzeby oddziałów przedszkolnych</t>
  </si>
  <si>
    <t>Zmniejszenie środków na bieżące potrzeby przedszkoli</t>
  </si>
  <si>
    <r>
      <t xml:space="preserve">Środki na:                                                                                 *zakup patelni elektrycznej </t>
    </r>
    <r>
      <rPr>
        <b/>
        <sz val="8"/>
        <rFont val="Times New Roman"/>
        <family val="1"/>
      </rPr>
      <t xml:space="preserve">4.502,00  </t>
    </r>
    <r>
      <rPr>
        <sz val="8"/>
        <rFont val="Times New Roman"/>
        <family val="1"/>
      </rPr>
      <t xml:space="preserve">                                                        * zakup mebli </t>
    </r>
    <r>
      <rPr>
        <b/>
        <sz val="8"/>
        <rFont val="Times New Roman"/>
        <family val="1"/>
      </rPr>
      <t>3.986,00</t>
    </r>
  </si>
  <si>
    <t>Zmniejszenie środków na bieżące potrzeby gimnazjum</t>
  </si>
  <si>
    <t xml:space="preserve">Zmniejszenie środków na dowożenie </t>
  </si>
  <si>
    <t>Zmniejszenie środków na bieżące potrzeby Gminnego Zespołu Oświatowego</t>
  </si>
  <si>
    <t>Rezygnacja z zakupu zestawu komputerowego</t>
  </si>
  <si>
    <t>Stołówki szkolne</t>
  </si>
  <si>
    <t>Środki nie wykorzystane w roku 2008</t>
  </si>
  <si>
    <t>Środki na zakup mebli do świetlicy terapeutycznej w Młodasku</t>
  </si>
  <si>
    <t>Zmniejszenie środków na świadczenia rodzinne i fundusz alimentacjny oraz na ich obsługę</t>
  </si>
  <si>
    <t>Zwiększenie środków na składki na ubezpieczenie zdrowotne</t>
  </si>
  <si>
    <t>Zmniejszenie środków na zasiłki i pomoc w naturze</t>
  </si>
  <si>
    <t>Zmniejszenie środków na bieżące utrzymanie Ośrodka Opieki Społecznej</t>
  </si>
  <si>
    <t xml:space="preserve">Środki na dofinansowanie świadczeń pomocy materialnej dla uczniów o charakterze socjalnym </t>
  </si>
  <si>
    <t>Zwiększenie środków na energię i konserwację  oświetlenia ulicznego z uwagi na podwyżki ustalone przez Zakład Energetyczny od 1 stycznia 2009 r.</t>
  </si>
  <si>
    <t>Środki na prace konserwacyjne w budynku toalet publicznych w Kaźmierzu</t>
  </si>
  <si>
    <t>Środki na komunikacę gminną Umowa z  "TPBUS" z dnia 18 grudnia 2008 roku</t>
  </si>
  <si>
    <t>Środki na budowę sieci gazowej w m.Pólko</t>
  </si>
  <si>
    <t>Zmniejszenie wsparcia finansowego na realizację zadań w zakresie kultury fizycznej i sportu (art.5 ust 4.pkt.2 ustawy z dn.24.04.2003r o działalności pożytku publicznego i o wolontariacie)</t>
  </si>
  <si>
    <t>Rezygnacja z obchodów Dni Kaźmierza w 2009 roku</t>
  </si>
  <si>
    <t>Zwiększenie środków na zadanie pn. "Budowa kompleksu boisk wielofunkcyjnych Orlik 2012"</t>
  </si>
  <si>
    <t>Zał.Nr 3 do Uchwału Nr XXXVI/186/09 Rady Gminy Kaźmierz z dnia 25.03.2009 r.</t>
  </si>
  <si>
    <t>DOCHODY I WYDATKI NA ZADANIA ZLECONE GMINOM</t>
  </si>
  <si>
    <t>NA 2009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</si>
  <si>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</si>
  <si>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</si>
  <si>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</si>
  <si>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</si>
  <si>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</si>
  <si>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</si>
  <si>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</si>
  <si>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</si>
  <si>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</si>
  <si>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</si>
  <si>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</si>
  <si>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</si>
  <si>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</si>
  <si>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</si>
  <si>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</si>
  <si>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</si>
  <si>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</si>
  <si>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Zał.Nr 4 do Uchwału Nr XXXVI/186/09 Rady Gminy Kaźmierz z dnia 25.03.2009 r.</t>
  </si>
  <si>
    <t>PRZYCHODY I ROZCHODY 2009 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</si>
  <si>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</si>
  <si>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</si>
  <si>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</si>
  <si>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</si>
  <si>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</si>
  <si>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</si>
  <si>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</si>
  <si>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Zmniejszenie przychodów z tytułu kredytów i pożyczek</t>
  </si>
  <si>
    <t>Przychody z tytułu innych rozliceń krajowych</t>
  </si>
  <si>
    <t>Wolne środki zgodnie z bilansem za rok 2008</t>
  </si>
  <si>
    <t>Spłaty otrzymanych krajowych pożyczek i kredytów</t>
  </si>
  <si>
    <t>Spłaty pożyczek otrzymanych  na finansowanie zadań realizowanych z udziałem środków pochodzących z budżetu Unii Europejskiej</t>
  </si>
  <si>
    <t>Plan na 2009r.</t>
  </si>
  <si>
    <t>Prognoza długu Gminy Kaźmierz na lata 2009 - 2019</t>
  </si>
  <si>
    <t>1. Zadłużenie gminy Kaźmierz na 31.12.2008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</si>
  <si>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</si>
  <si>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</si>
  <si>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</si>
  <si>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</si>
  <si>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</si>
  <si>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</si>
  <si>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31.12.2009 r. (poz.1+2-3a)</t>
  </si>
  <si>
    <t>5. Planowane dochody budżetu gminy na 2009 r.</t>
  </si>
  <si>
    <t>6. Łączna kwota do spłaty rat kredytów i pożyczek wraz z odsetkami w</t>
  </si>
  <si>
    <t xml:space="preserve">    stosunku doplanowanych dochodów gminy na 2009 r. (poz.3/poz.5)</t>
  </si>
  <si>
    <t>7. Stosunek łącznej kwoty długu na koniec roku budżetowego do dochodów</t>
  </si>
  <si>
    <t xml:space="preserve">    gminy (poz.4/poz.5) w tym roku budżetowym wynosić będzie</t>
  </si>
  <si>
    <t>Prognoza na rok 2010</t>
  </si>
  <si>
    <t>1. Zadłużenie gminy Kaźmierz na początek roku budżetowego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</si>
  <si>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</si>
  <si>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</si>
  <si>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</si>
  <si>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</si>
  <si>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</si>
  <si>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</si>
  <si>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</si>
  <si>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</si>
  <si>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</si>
  <si>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</si>
  <si>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</si>
  <si>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</si>
  <si>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</si>
  <si>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</si>
  <si>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</si>
  <si>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</si>
  <si>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</si>
  <si>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</si>
  <si>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</si>
  <si>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</si>
  <si>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</si>
  <si>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</si>
  <si>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</si>
  <si>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</si>
  <si>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</si>
  <si>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</si>
  <si>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</si>
  <si>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</si>
  <si>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</si>
  <si>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</si>
  <si>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</si>
  <si>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Prognoza na rok 2018</t>
  </si>
  <si>
    <t>4. Prognozowana kwota długu na dzień 31.12.2018 r. (poz.1+2-3a)</t>
  </si>
  <si>
    <t>5. Planowane dochody budżetu gminy na 2018 r.</t>
  </si>
  <si>
    <t xml:space="preserve">    stosunku doplanowanych dochodów gminy na 2018 r. (poz.3/poz.5)</t>
  </si>
  <si>
    <t>Prognoza na rok 2019</t>
  </si>
  <si>
    <t>4. Prognozowana kwota długu na dzień 31.12.2019 r. (poz.1+2-3a)</t>
  </si>
  <si>
    <t>5. Planowane dochody budżetu gminy na 2019 r.</t>
  </si>
  <si>
    <t xml:space="preserve">    stosunku doplanowanych dochodów gminy na 2019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</si>
  <si>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</si>
  <si>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</si>
  <si>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WYDATKI MAJĄTKOWE GMINY KAŹMIERZ W 2009 r.</t>
  </si>
  <si>
    <t>Zał.Nr 5 do Uchwału Nr XXXVI/186/09 Rady Gminy Kaźmierz z dnia 25.03.2009 r.</t>
  </si>
  <si>
    <t xml:space="preserve">Plan wydatków majątkowych na 2009 r. </t>
  </si>
  <si>
    <t>Budowa sieci wodociągowej w m.K-rz  rej.ul.Konopnickiej-Dolnej</t>
  </si>
  <si>
    <t>Budowa sieci wodociągowej w m.Radzyny rej.ul.Krańcowej</t>
  </si>
  <si>
    <t>Budowa sieci wodociągowej w m.Kopanina</t>
  </si>
  <si>
    <t>Budowa sieci wodociągowej w m.Radzyny - Chrusty</t>
  </si>
  <si>
    <t>Pomoc finansowa dla Województwa Wielkopolskiego na budowę chodnika w ciągu drogi wojewódzkiej Nr 306 w m.Pólko</t>
  </si>
  <si>
    <t>Pomoc finansowa dla Powiatu Szamotulskiego na budowę dróg i chodników leżących na terenie Gminy Kaźmierz</t>
  </si>
  <si>
    <t>Przebudowa szkolnych przystanków autobusowych</t>
  </si>
  <si>
    <t>Klimatyzacja pomieszczeń</t>
  </si>
  <si>
    <t>Ocieplenie budynku świetlicy wiejskiej w Radzynach</t>
  </si>
  <si>
    <t>Budowa boiska sportowego w m.Witkowice</t>
  </si>
  <si>
    <t>Budowa systemu ogrzewania świetlicy w gaju Wielkim wraz z jej wyposażeniem i infrastrukturą towarzyszącą</t>
  </si>
  <si>
    <t>Wyniana okien w Szkole Podstawowej w Sokolnikach Wielkich</t>
  </si>
  <si>
    <t>Adaptacja poddasza w Szkole Podstawowej w Bytyniu</t>
  </si>
  <si>
    <t>Wyniana okien w Szkole Podstawowej w Bytyniu</t>
  </si>
  <si>
    <t>Modernizacja kotłowni w Szkole Podstawowej w Gaju Wielkim</t>
  </si>
  <si>
    <t>Zakup laptopa - Szkoła Podstawowa w Sokolnikach Wielkich</t>
  </si>
  <si>
    <t>Zakup projektora - Szkoła Podstawowa w Sokolnikach Wielkich</t>
  </si>
  <si>
    <t>Zakup laptopa - Szkoła Podstawowa w Gaju Wielkim</t>
  </si>
  <si>
    <t>Zakup patelni elektrycznej</t>
  </si>
  <si>
    <t>Zakup mebli do świetlicy terapeutycznej w Młodasku</t>
  </si>
  <si>
    <t>Oświetlenie przystanków autobusowych w m.Bytyń</t>
  </si>
  <si>
    <t>Oświetlenie dróg osiedlowych na terenie gminy Kaźmierz: m.Komorowo</t>
  </si>
  <si>
    <t>Oświetlenie dróg osiedlowych na terenie gminy Kaźmierz: m.Kaźmierz rej.ul.Konopnickiej - Dolnej</t>
  </si>
  <si>
    <t>Plan wydatków na wieloletnie programy inwestycyjne.</t>
  </si>
  <si>
    <t>Zał.Nr 6 do Uchwału Nr XXXVI/186/09 Rady Gminy Kaźmierz z dnia 25.03.2009 r.</t>
  </si>
  <si>
    <t>Lp.</t>
  </si>
  <si>
    <t xml:space="preserve">Nazwa i cel programu </t>
  </si>
  <si>
    <t>Okres realizacji programu</t>
  </si>
  <si>
    <t>Wysokość wydatków w okresie realizacji</t>
  </si>
  <si>
    <t>Źródła finansowania</t>
  </si>
  <si>
    <t>Ogółem</t>
  </si>
  <si>
    <t>2009r.</t>
  </si>
  <si>
    <t>2010r.</t>
  </si>
  <si>
    <t>2011r.</t>
  </si>
  <si>
    <t>Koszty poniesione w latach poprz.</t>
  </si>
  <si>
    <t>środki własne</t>
  </si>
  <si>
    <t>środki bezzwrotne z UE</t>
  </si>
  <si>
    <t>kredyt</t>
  </si>
  <si>
    <t>inne żródła</t>
  </si>
  <si>
    <t>1.</t>
  </si>
  <si>
    <t>Budowa stacji wodociągowej w Gaju Wielkim</t>
  </si>
  <si>
    <t>2007-2010</t>
  </si>
  <si>
    <t xml:space="preserve">Okres realizacji zadania, z uwagi na brak środków planowanych na rok 2009, został wydłużony o 1 rok, tj. do 2010r. , środki zaplanowanew w roku 2008 w wysokości 20 000 zł nie zostały wykorzystanie, w związku z tym zwiększa się o tę kwotę wydatki planowane w latach kolejnych. </t>
  </si>
  <si>
    <t>2.</t>
  </si>
  <si>
    <t>Rozbudowa sieci wodociągowej na terenie Kaźmierza:</t>
  </si>
  <si>
    <t>a)</t>
  </si>
  <si>
    <t>Sieć wodociągowa Kaźmierz, rej. ul. Polna - Reja</t>
  </si>
  <si>
    <t>2004-2009</t>
  </si>
  <si>
    <t>b)</t>
  </si>
  <si>
    <t>Sieć wodociągowa Kaźmierz, rej. ul. Szkolnej</t>
  </si>
  <si>
    <t>2004-2013</t>
  </si>
  <si>
    <t>c)</t>
  </si>
  <si>
    <t>Sieć wodociągowa w m. Kaźmierz rej.ul. Konopnickiej-Dolnej</t>
  </si>
  <si>
    <t>2006-2010</t>
  </si>
  <si>
    <t>d)</t>
  </si>
  <si>
    <t xml:space="preserve">Sieć wodociagowa Kaźmierz ul. Poznańska w kierunku do m. Brzezno </t>
  </si>
  <si>
    <t>2007-2011</t>
  </si>
  <si>
    <t>Okres realizacji zadania został wydłużony o 1 rok, tj. do roku 2011. Wydatki planowane w latach ubiegłych na rok 2009 nie mogą zostać zrealizowane z uwagi na brak środków i zostają przesunięte na rok 2010, natomiast wydatki z roku 2010 na 2011.</t>
  </si>
  <si>
    <t>3.</t>
  </si>
  <si>
    <t xml:space="preserve">Sieć wodociągowa Radzyny rej. ul. Krańcowej I, II, III </t>
  </si>
  <si>
    <t>4.</t>
  </si>
  <si>
    <t>Sieć wodociągowa w Kopaninie</t>
  </si>
  <si>
    <t>5.</t>
  </si>
  <si>
    <t>Sieć wodociągowa Radzyny - Chrusty</t>
  </si>
  <si>
    <t>6.</t>
  </si>
  <si>
    <t>2008-2009</t>
  </si>
  <si>
    <t xml:space="preserve">Ze środków w wysokości 110 000,00 zł zaplanowanych w roku 2008 została wykorzystana kwota 20 000,00 zł. W związku z powyższym kwota 90 000,00 zostaje zaplanowana w roku 2009 i tym samym zadanie staje się zadaniem wieloletnim. </t>
  </si>
  <si>
    <t>7.</t>
  </si>
  <si>
    <t>Rozbudowa oczyszczalni ścieków w Kiaczynie wraz z siecią kanalizacji sanitarnej (tzw. układ Kaźmierz - Kiączyn)</t>
  </si>
  <si>
    <t>Z kwoty 5 710 000,00 zł zaplanowanej wcześniej na rok 2009 pozostaje kwota 145 000,00 zł przeznaczona na przygotowanie wniosku do II etapu konkursu na pozyskanie środków z UE. Pozostała kwota zostaje przesunięta na lata kolejne, ponieważ rozstrzygnięcie konkursów planowane jest dopiero na rok 2010.</t>
  </si>
  <si>
    <t>Zmiana nazwy dostosowana do nazwy doumentacji projektowej i zawartej w budżecie na rok 2009.</t>
  </si>
  <si>
    <t>8.</t>
  </si>
  <si>
    <t>Budowa kanalizacji sanitarnej w Gaju Wielkim (z przerzutem do Rumianka)</t>
  </si>
  <si>
    <t>2011-2012</t>
  </si>
  <si>
    <t>9.</t>
  </si>
  <si>
    <t>Przebudowa płyty Rynku w Kaźmierzu</t>
  </si>
  <si>
    <t>2004-2010</t>
  </si>
  <si>
    <t>Okres realizacji zadania został wydłużony o 1 rok, tj do 2010r., z uwagi na brak wystarczających środków w roku 2009. Środki zaplanowane w roku 2008 w kwocie 90 000,00 zł nie zostały wykorzystane w całości, pozostała kwota planowana jest na lata kolejne.</t>
  </si>
  <si>
    <t>10.</t>
  </si>
  <si>
    <t>Budowa punktu widokowego w Radzynach ze ścieżką rowerową i infrastrukturą</t>
  </si>
  <si>
    <t>11.</t>
  </si>
  <si>
    <t>Budowa punktu widokowego w Komorowie z infrastrukturą</t>
  </si>
  <si>
    <t>12.</t>
  </si>
  <si>
    <t>Budowa drogi dojazdowej do gruntów rolnych Kopanina</t>
  </si>
  <si>
    <t xml:space="preserve">Z uwagi na brak środków w roku 2009 planowane zadanie przesuwa się w czasie na rok 2010. </t>
  </si>
  <si>
    <t>13.</t>
  </si>
  <si>
    <t>Budowa drogi dojazdowej do gruntów rolnych Witkowice  - Gorszewice</t>
  </si>
  <si>
    <t xml:space="preserve">Z uwagi na brak środków w roku 2010 planowane zadanie przesuwa się w czasie na rok 2011. </t>
  </si>
  <si>
    <t>14.</t>
  </si>
  <si>
    <t>Przebudowa ul Okrężnej w Kaźmierzu</t>
  </si>
  <si>
    <t>2008-2010</t>
  </si>
  <si>
    <t xml:space="preserve">Z uwagi na brak środków w roku 2009 planowane środki zostają przesunięte na rok 2010. Środki niewykorzystane w 2008r. w wysokości 172 237,80 zł planuje się wydatkować w roku 2010. </t>
  </si>
  <si>
    <t>15.</t>
  </si>
  <si>
    <t>Budowa drogi dojazdowej do gruntów rolnych Chlewiska-Dolne Pole</t>
  </si>
  <si>
    <t>16.</t>
  </si>
  <si>
    <t>Przebudowa drogi gminnej w Gorszewicach</t>
  </si>
  <si>
    <t>2010-2011</t>
  </si>
  <si>
    <t xml:space="preserve">Z uwagi na brak środków w roku 2009 planowane zadanie przesuwa się w czasie na lata 2010-2011. </t>
  </si>
  <si>
    <t>17.</t>
  </si>
  <si>
    <t>Przebudowa drogi gminnej do Sierpówka</t>
  </si>
  <si>
    <t>18.</t>
  </si>
  <si>
    <t>Oświetlenie uliczne w Komorowie</t>
  </si>
  <si>
    <t xml:space="preserve">Z uwagi na brak wystarczających środków w roku 2009 okres realizacji zadania został wydlużony do roku 2010. </t>
  </si>
  <si>
    <t>19.</t>
  </si>
  <si>
    <t xml:space="preserve">Oświetlenie dróg osiedlowych rejon ul. Konopnickiej i Dolnej </t>
  </si>
  <si>
    <t>2009-2010</t>
  </si>
  <si>
    <t>Oświetlenie dróg osiedlowych w rejonie ulic Szamotulska - Cisowa  w Kaźmierzu</t>
  </si>
  <si>
    <t>Rezygnuje się z wykonania zadania w latach 2010-2011</t>
  </si>
  <si>
    <t>20.</t>
  </si>
  <si>
    <t xml:space="preserve">Rozbudowa budynku administracyjnego Urzędu Gminy w Kaźmierzu z uwzględnieniem dostosowania budynku dla osób niepełnosprawnych </t>
  </si>
  <si>
    <t xml:space="preserve">Z uwagi na brak wystarczających środków w roku 2009 okres realizacji zadania został wydlużony do roku 2011. </t>
  </si>
  <si>
    <t>21.</t>
  </si>
  <si>
    <t xml:space="preserve">Budowa centrum rekreacyjno - sportowego w rejonie ul. Leśnej w Kaźmierzu </t>
  </si>
  <si>
    <t>2008-2011</t>
  </si>
  <si>
    <t>22.</t>
  </si>
  <si>
    <t xml:space="preserve">Powyższe zadanie zostało wprowadzone w miejsce zadania pn "Budowa boiska ze sztuczną nawierzchnią przy szkole podstawowej w Kaźmierzu". </t>
  </si>
  <si>
    <t>23.</t>
  </si>
  <si>
    <t>Gminny ośrodek sportu i rekreracji w Radzynach</t>
  </si>
  <si>
    <t>2011-2013</t>
  </si>
  <si>
    <t>24.</t>
  </si>
  <si>
    <t>2008 - 2010</t>
  </si>
  <si>
    <t>25.</t>
  </si>
  <si>
    <t>26.</t>
  </si>
  <si>
    <t>Budowa kotłowni gazowej w budynku Ośrodka Zdrowia w Kaźmierzu</t>
  </si>
  <si>
    <t>27.</t>
  </si>
  <si>
    <t>Budowa placów zabaw</t>
  </si>
  <si>
    <t>28.</t>
  </si>
  <si>
    <t>Budowa systemu ogrzewania świetlicy w Gaju Wielkim wraz z jej wyposażeniem i infrastrukturą towarzyszącą.</t>
  </si>
  <si>
    <t xml:space="preserve">Zadanie to w budżecie roku 2008 funkcjonowało pod nazwą "Budowa kotłowni gazowej z siecią centralnego ogrzewania w budynku świetlicy wiejskiej w Gaju Wielkim"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</si>
</sst>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b/>
      <sz val="11"/>
      <color indexed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b/>
      <sz val="12"/>
      <color indexed="30"/>
      <name val="Times New Roman CE"/>
      <family val="1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b/>
      <sz val="10"/>
      <color indexed="56"/>
      <name val="Times New Roman"/>
      <family val="1"/>
    </font>
    <font>
      <sz val="10"/>
      <color indexed="30"/>
      <name val="Times New Roman"/>
      <family val="1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0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22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 quotePrefix="1">
      <alignment horizontal="center" vertical="center"/>
    </xf>
    <xf numFmtId="4" fontId="10" fillId="22" borderId="10" xfId="0" applyNumberFormat="1" applyFont="1" applyFill="1" applyBorder="1" applyAlignment="1">
      <alignment horizontal="center" vertical="center"/>
    </xf>
    <xf numFmtId="4" fontId="15" fillId="22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22" borderId="10" xfId="0" applyNumberFormat="1" applyFont="1" applyFill="1" applyBorder="1" applyAlignment="1">
      <alignment horizontal="center" vertical="center" wrapText="1"/>
    </xf>
    <xf numFmtId="4" fontId="14" fillId="22" borderId="10" xfId="0" applyNumberFormat="1" applyFont="1" applyFill="1" applyBorder="1" applyAlignment="1">
      <alignment horizontal="center" vertical="center" wrapText="1"/>
    </xf>
    <xf numFmtId="4" fontId="15" fillId="22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vertical="center" wrapText="1"/>
    </xf>
    <xf numFmtId="4" fontId="10" fillId="22" borderId="13" xfId="0" applyNumberFormat="1" applyFont="1" applyFill="1" applyBorder="1" applyAlignment="1">
      <alignment horizontal="center" vertical="center" wrapText="1"/>
    </xf>
    <xf numFmtId="4" fontId="15" fillId="22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 wrapText="1"/>
    </xf>
    <xf numFmtId="4" fontId="10" fillId="25" borderId="10" xfId="0" applyNumberFormat="1" applyFont="1" applyFill="1" applyBorder="1" applyAlignment="1">
      <alignment horizontal="center" vertical="center" wrapText="1"/>
    </xf>
    <xf numFmtId="4" fontId="15" fillId="25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4" fillId="2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5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2" borderId="11" xfId="0" applyFont="1" applyFill="1" applyBorder="1" applyAlignment="1" quotePrefix="1">
      <alignment horizontal="center" vertical="center"/>
    </xf>
    <xf numFmtId="4" fontId="11" fillId="4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26" borderId="10" xfId="0" applyNumberFormat="1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9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2" fillId="25" borderId="21" xfId="0" applyNumberFormat="1" applyFont="1" applyFill="1" applyBorder="1" applyAlignment="1">
      <alignment horizontal="center" vertical="center" wrapText="1"/>
    </xf>
    <xf numFmtId="4" fontId="14" fillId="25" borderId="21" xfId="0" applyNumberFormat="1" applyFont="1" applyFill="1" applyBorder="1" applyAlignment="1">
      <alignment horizontal="center" vertical="center" wrapText="1"/>
    </xf>
    <xf numFmtId="0" fontId="11" fillId="26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vertical="center"/>
    </xf>
    <xf numFmtId="4" fontId="21" fillId="22" borderId="10" xfId="0" applyNumberFormat="1" applyFont="1" applyFill="1" applyBorder="1" applyAlignment="1">
      <alignment vertical="center"/>
    </xf>
    <xf numFmtId="4" fontId="21" fillId="0" borderId="10" xfId="0" applyNumberFormat="1" applyFont="1" applyBorder="1" applyAlignment="1">
      <alignment vertical="center" wrapText="1"/>
    </xf>
    <xf numFmtId="4" fontId="21" fillId="22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0" fillId="0" borderId="22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6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57" fillId="25" borderId="15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23" fillId="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58" fillId="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57" fillId="4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2" fillId="22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left" vertical="center" wrapText="1"/>
    </xf>
    <xf numFmtId="4" fontId="22" fillId="22" borderId="10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0" fillId="25" borderId="23" xfId="0" applyFont="1" applyFill="1" applyBorder="1" applyAlignment="1">
      <alignment horizontal="center" vertical="center" wrapText="1"/>
    </xf>
    <xf numFmtId="0" fontId="11" fillId="25" borderId="24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left" vertical="center" wrapText="1"/>
    </xf>
    <xf numFmtId="4" fontId="10" fillId="25" borderId="24" xfId="0" applyNumberFormat="1" applyFont="1" applyFill="1" applyBorder="1" applyAlignment="1">
      <alignment horizontal="center" vertical="center" wrapText="1"/>
    </xf>
    <xf numFmtId="4" fontId="60" fillId="25" borderId="24" xfId="0" applyNumberFormat="1" applyFont="1" applyFill="1" applyBorder="1" applyAlignment="1">
      <alignment horizontal="center" vertical="center" wrapText="1"/>
    </xf>
    <xf numFmtId="4" fontId="14" fillId="25" borderId="24" xfId="0" applyNumberFormat="1" applyFont="1" applyFill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4" fontId="21" fillId="25" borderId="2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right" vertical="center"/>
    </xf>
    <xf numFmtId="0" fontId="27" fillId="27" borderId="17" xfId="0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right" vertical="center"/>
    </xf>
    <xf numFmtId="0" fontId="27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vertical="center" wrapText="1"/>
    </xf>
    <xf numFmtId="0" fontId="11" fillId="22" borderId="10" xfId="0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4" fontId="28" fillId="4" borderId="10" xfId="0" applyNumberFormat="1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" fillId="20" borderId="29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6" fillId="24" borderId="15" xfId="0" applyFont="1" applyFill="1" applyBorder="1" applyAlignment="1" quotePrefix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4" fontId="3" fillId="24" borderId="13" xfId="0" applyNumberFormat="1" applyFont="1" applyFill="1" applyBorder="1" applyAlignment="1">
      <alignment vertical="center" wrapText="1"/>
    </xf>
    <xf numFmtId="4" fontId="4" fillId="24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 quotePrefix="1">
      <alignment horizontal="right"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 quotePrefix="1">
      <alignment/>
    </xf>
    <xf numFmtId="10" fontId="2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56" fillId="22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22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4" fontId="61" fillId="0" borderId="10" xfId="0" applyNumberFormat="1" applyFont="1" applyBorder="1" applyAlignment="1">
      <alignment horizontal="right" vertical="center" wrapText="1"/>
    </xf>
    <xf numFmtId="4" fontId="3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7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7" fillId="0" borderId="13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vertical="center"/>
    </xf>
    <xf numFmtId="4" fontId="38" fillId="0" borderId="13" xfId="0" applyNumberFormat="1" applyFont="1" applyFill="1" applyBorder="1" applyAlignment="1">
      <alignment vertical="center"/>
    </xf>
    <xf numFmtId="4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 applyAlignment="1">
      <alignment/>
    </xf>
    <xf numFmtId="0" fontId="3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wrapText="1"/>
    </xf>
    <xf numFmtId="4" fontId="37" fillId="0" borderId="14" xfId="0" applyNumberFormat="1" applyFont="1" applyFill="1" applyBorder="1" applyAlignment="1">
      <alignment vertical="center"/>
    </xf>
    <xf numFmtId="4" fontId="38" fillId="0" borderId="14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/>
    </xf>
    <xf numFmtId="4" fontId="37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 vertical="center"/>
    </xf>
    <xf numFmtId="4" fontId="38" fillId="0" borderId="14" xfId="0" applyNumberFormat="1" applyFont="1" applyFill="1" applyBorder="1" applyAlignment="1">
      <alignment/>
    </xf>
    <xf numFmtId="4" fontId="38" fillId="0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left" vertical="center" wrapText="1"/>
    </xf>
    <xf numFmtId="4" fontId="28" fillId="22" borderId="29" xfId="0" applyNumberFormat="1" applyFont="1" applyFill="1" applyBorder="1" applyAlignment="1">
      <alignment horizontal="center" vertical="center" wrapText="1"/>
    </xf>
    <xf numFmtId="4" fontId="28" fillId="22" borderId="1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38" fillId="0" borderId="29" xfId="0" applyFont="1" applyFill="1" applyBorder="1" applyAlignment="1">
      <alignment/>
    </xf>
    <xf numFmtId="0" fontId="11" fillId="0" borderId="36" xfId="0" applyFont="1" applyBorder="1" applyAlignment="1">
      <alignment/>
    </xf>
    <xf numFmtId="0" fontId="11" fillId="0" borderId="18" xfId="0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38" fillId="0" borderId="29" xfId="0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7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7" fillId="0" borderId="2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osia\Moje%20dokumenty\Bud&#380;et\Budzet%202009%20%20(Automatycznie%20zapisan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901"/>
      <sheetName val="902"/>
      <sheetName val="Zangażowanie I"/>
      <sheetName val="Zaangażowanie II"/>
      <sheetName val="Harmonogram spłat"/>
      <sheetName val="Zmiana D"/>
      <sheetName val="Dochody zał.Nr 1"/>
      <sheetName val="Zmiana W"/>
      <sheetName val="Wydatki zał.Nr 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ycje zał.nr 8"/>
      <sheetName val="WPI 25.03."/>
      <sheetName val="WPI NI"/>
      <sheetName val="WPI zał.nr 9"/>
      <sheetName val="Doch.własnenr10"/>
      <sheetName val="Arkusz1"/>
      <sheetName val="Arkusz4"/>
      <sheetName val="Plan finansowy WUW"/>
      <sheetName val="porównanie"/>
      <sheetName val="zestawienie"/>
      <sheetName val="Roboczy"/>
      <sheetName val="Dni Kaźmierza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9">
        <row r="132">
          <cell r="H132">
            <v>0</v>
          </cell>
          <cell r="I132">
            <v>0</v>
          </cell>
          <cell r="K132">
            <v>0</v>
          </cell>
        </row>
      </sheetData>
      <sheetData sheetId="11">
        <row r="383">
          <cell r="J383">
            <v>0</v>
          </cell>
          <cell r="K383">
            <v>0</v>
          </cell>
          <cell r="M3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0"/>
  <sheetViews>
    <sheetView tabSelected="1" zoomScale="150" zoomScaleNormal="150" zoomScalePageLayoutView="0" workbookViewId="0" topLeftCell="A1">
      <selection activeCell="A1" sqref="A1:N131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6.140625" style="21" customWidth="1"/>
    <col min="4" max="4" width="46.7109375" style="21" customWidth="1"/>
    <col min="5" max="5" width="16.28125" style="3" customWidth="1"/>
    <col min="6" max="6" width="14.28125" style="138" customWidth="1"/>
    <col min="7" max="11" width="13.421875" style="138" hidden="1" customWidth="1"/>
    <col min="12" max="12" width="6.8515625" style="138" hidden="1" customWidth="1"/>
    <col min="13" max="13" width="16.8515625" style="154" customWidth="1"/>
    <col min="14" max="14" width="32.140625" style="169" customWidth="1"/>
    <col min="15" max="16384" width="9.140625" style="21" customWidth="1"/>
  </cols>
  <sheetData>
    <row r="1" spans="1:14" ht="31.5">
      <c r="A1" s="19" t="s">
        <v>251</v>
      </c>
      <c r="B1" s="20"/>
      <c r="C1" s="20"/>
      <c r="E1" s="1"/>
      <c r="F1" s="137"/>
      <c r="G1" s="137"/>
      <c r="H1" s="137"/>
      <c r="I1" s="137"/>
      <c r="J1" s="137"/>
      <c r="K1" s="137"/>
      <c r="L1" s="137"/>
      <c r="M1" s="2"/>
      <c r="N1" s="232" t="s">
        <v>252</v>
      </c>
    </row>
    <row r="2" spans="1:13" ht="13.5" thickBot="1">
      <c r="A2" s="117"/>
      <c r="B2" s="20"/>
      <c r="C2" s="20"/>
      <c r="M2" s="2"/>
    </row>
    <row r="3" spans="1:14" s="105" customFormat="1" ht="42.75" customHeight="1">
      <c r="A3" s="233" t="s">
        <v>15</v>
      </c>
      <c r="B3" s="233" t="s">
        <v>16</v>
      </c>
      <c r="C3" s="233" t="s">
        <v>17</v>
      </c>
      <c r="D3" s="233" t="s">
        <v>18</v>
      </c>
      <c r="E3" s="170" t="s">
        <v>253</v>
      </c>
      <c r="F3" s="234" t="s">
        <v>19</v>
      </c>
      <c r="G3" s="235"/>
      <c r="H3" s="235"/>
      <c r="I3" s="235"/>
      <c r="J3" s="235" t="s">
        <v>8</v>
      </c>
      <c r="K3" s="235"/>
      <c r="L3" s="235"/>
      <c r="M3" s="171" t="s">
        <v>197</v>
      </c>
      <c r="N3" s="170" t="s">
        <v>20</v>
      </c>
    </row>
    <row r="4" spans="1:14" s="238" customFormat="1" ht="16.5" customHeight="1">
      <c r="A4" s="118"/>
      <c r="B4" s="118"/>
      <c r="C4" s="118"/>
      <c r="D4" s="118"/>
      <c r="E4" s="118"/>
      <c r="F4" s="236"/>
      <c r="G4" s="118"/>
      <c r="H4" s="118"/>
      <c r="I4" s="118"/>
      <c r="J4" s="118"/>
      <c r="K4" s="118"/>
      <c r="L4" s="118"/>
      <c r="M4" s="118"/>
      <c r="N4" s="237"/>
    </row>
    <row r="5" spans="1:14" s="2" customFormat="1" ht="16.5" customHeight="1" hidden="1">
      <c r="A5" s="172" t="s">
        <v>37</v>
      </c>
      <c r="B5" s="173"/>
      <c r="C5" s="173"/>
      <c r="D5" s="174" t="s">
        <v>38</v>
      </c>
      <c r="E5" s="175">
        <f>E6</f>
        <v>6500</v>
      </c>
      <c r="F5" s="176">
        <f>F6</f>
        <v>0</v>
      </c>
      <c r="G5" s="176">
        <f aca="true" t="shared" si="0" ref="G5:L5">G6</f>
        <v>0</v>
      </c>
      <c r="H5" s="176">
        <f t="shared" si="0"/>
        <v>0</v>
      </c>
      <c r="I5" s="176">
        <f t="shared" si="0"/>
        <v>0</v>
      </c>
      <c r="J5" s="176">
        <f t="shared" si="0"/>
        <v>0</v>
      </c>
      <c r="K5" s="176">
        <f t="shared" si="0"/>
        <v>0</v>
      </c>
      <c r="L5" s="176">
        <f t="shared" si="0"/>
        <v>0</v>
      </c>
      <c r="M5" s="175">
        <f>M6</f>
        <v>6500</v>
      </c>
      <c r="N5" s="177"/>
    </row>
    <row r="6" spans="1:14" s="2" customFormat="1" ht="15" customHeight="1" hidden="1">
      <c r="A6" s="178"/>
      <c r="B6" s="179" t="s">
        <v>45</v>
      </c>
      <c r="C6" s="7"/>
      <c r="D6" s="8" t="s">
        <v>34</v>
      </c>
      <c r="E6" s="180">
        <f>SUM(E7:E8)</f>
        <v>6500</v>
      </c>
      <c r="F6" s="181">
        <f>SUM(F7:F8)</f>
        <v>0</v>
      </c>
      <c r="G6" s="181">
        <f aca="true" t="shared" si="1" ref="G6:L6">SUM(G7:G8)</f>
        <v>0</v>
      </c>
      <c r="H6" s="181">
        <f t="shared" si="1"/>
        <v>0</v>
      </c>
      <c r="I6" s="181">
        <f t="shared" si="1"/>
        <v>0</v>
      </c>
      <c r="J6" s="181">
        <f t="shared" si="1"/>
        <v>0</v>
      </c>
      <c r="K6" s="181">
        <f t="shared" si="1"/>
        <v>0</v>
      </c>
      <c r="L6" s="181">
        <f t="shared" si="1"/>
        <v>0</v>
      </c>
      <c r="M6" s="146">
        <f>M7+M8</f>
        <v>6500</v>
      </c>
      <c r="N6" s="182"/>
    </row>
    <row r="7" spans="1:14" s="2" customFormat="1" ht="51" hidden="1">
      <c r="A7" s="178"/>
      <c r="B7" s="9"/>
      <c r="C7" s="10" t="s">
        <v>95</v>
      </c>
      <c r="D7" s="11" t="s">
        <v>96</v>
      </c>
      <c r="E7" s="183">
        <v>6500</v>
      </c>
      <c r="F7" s="164"/>
      <c r="G7" s="164"/>
      <c r="H7" s="164"/>
      <c r="I7" s="164"/>
      <c r="J7" s="164"/>
      <c r="K7" s="164"/>
      <c r="L7" s="164"/>
      <c r="M7" s="141">
        <f>E7+F7+G7+H7+I7+J7+K7+L7</f>
        <v>6500</v>
      </c>
      <c r="N7" s="239"/>
    </row>
    <row r="8" spans="1:14" s="2" customFormat="1" ht="54.75" customHeight="1" hidden="1">
      <c r="A8" s="178"/>
      <c r="B8" s="9"/>
      <c r="C8" s="9">
        <v>2010</v>
      </c>
      <c r="D8" s="11" t="s">
        <v>26</v>
      </c>
      <c r="E8" s="183"/>
      <c r="F8" s="164"/>
      <c r="G8" s="164"/>
      <c r="H8" s="164"/>
      <c r="I8" s="164"/>
      <c r="J8" s="164"/>
      <c r="K8" s="164"/>
      <c r="L8" s="164"/>
      <c r="M8" s="141">
        <f>E8+F8+G8+H8+I8+J8+K8+L8</f>
        <v>0</v>
      </c>
      <c r="N8" s="239"/>
    </row>
    <row r="9" spans="1:14" s="4" customFormat="1" ht="16.5" customHeight="1" hidden="1">
      <c r="A9" s="184">
        <v>600</v>
      </c>
      <c r="B9" s="184"/>
      <c r="C9" s="184"/>
      <c r="D9" s="185" t="s">
        <v>47</v>
      </c>
      <c r="E9" s="100">
        <f aca="true" t="shared" si="2" ref="E9:L10">E10</f>
        <v>0</v>
      </c>
      <c r="F9" s="142">
        <f t="shared" si="2"/>
        <v>0</v>
      </c>
      <c r="G9" s="142">
        <f t="shared" si="2"/>
        <v>0</v>
      </c>
      <c r="H9" s="142">
        <f>H12</f>
        <v>0</v>
      </c>
      <c r="I9" s="142">
        <f t="shared" si="2"/>
        <v>0</v>
      </c>
      <c r="J9" s="142">
        <f t="shared" si="2"/>
        <v>0</v>
      </c>
      <c r="K9" s="142">
        <f t="shared" si="2"/>
        <v>0</v>
      </c>
      <c r="L9" s="142">
        <f t="shared" si="2"/>
        <v>0</v>
      </c>
      <c r="M9" s="100">
        <f>M10+M12</f>
        <v>0</v>
      </c>
      <c r="N9" s="186"/>
    </row>
    <row r="10" spans="1:14" s="4" customFormat="1" ht="18" customHeight="1" hidden="1">
      <c r="A10" s="14"/>
      <c r="B10" s="14">
        <v>60014</v>
      </c>
      <c r="C10" s="14"/>
      <c r="D10" s="17" t="s">
        <v>48</v>
      </c>
      <c r="E10" s="113">
        <f>E11</f>
        <v>0</v>
      </c>
      <c r="F10" s="112">
        <f>F11</f>
        <v>0</v>
      </c>
      <c r="G10" s="112">
        <f t="shared" si="2"/>
        <v>0</v>
      </c>
      <c r="H10" s="112">
        <f t="shared" si="2"/>
        <v>0</v>
      </c>
      <c r="I10" s="112">
        <f t="shared" si="2"/>
        <v>0</v>
      </c>
      <c r="J10" s="112">
        <f t="shared" si="2"/>
        <v>0</v>
      </c>
      <c r="K10" s="112">
        <f t="shared" si="2"/>
        <v>0</v>
      </c>
      <c r="L10" s="112">
        <f t="shared" si="2"/>
        <v>0</v>
      </c>
      <c r="M10" s="144">
        <f>M11</f>
        <v>0</v>
      </c>
      <c r="N10" s="187"/>
    </row>
    <row r="11" spans="1:14" s="4" customFormat="1" ht="55.5" customHeight="1" hidden="1">
      <c r="A11" s="14"/>
      <c r="B11" s="14"/>
      <c r="C11" s="27">
        <v>6620</v>
      </c>
      <c r="D11" s="28" t="s">
        <v>198</v>
      </c>
      <c r="E11" s="106"/>
      <c r="F11" s="140"/>
      <c r="G11" s="140"/>
      <c r="H11" s="140"/>
      <c r="I11" s="140"/>
      <c r="J11" s="140"/>
      <c r="K11" s="140"/>
      <c r="L11" s="140"/>
      <c r="M11" s="141">
        <f>E11+F11+G11+H11+I11+J11+K11</f>
        <v>0</v>
      </c>
      <c r="N11" s="188"/>
    </row>
    <row r="12" spans="1:14" s="4" customFormat="1" ht="18" customHeight="1" hidden="1">
      <c r="A12" s="14"/>
      <c r="B12" s="14">
        <v>60016</v>
      </c>
      <c r="C12" s="14"/>
      <c r="D12" s="17" t="s">
        <v>51</v>
      </c>
      <c r="E12" s="113">
        <f>E14</f>
        <v>0</v>
      </c>
      <c r="F12" s="112">
        <f>F14</f>
        <v>0</v>
      </c>
      <c r="G12" s="112">
        <f aca="true" t="shared" si="3" ref="G12:L12">G14</f>
        <v>0</v>
      </c>
      <c r="H12" s="112">
        <f>H13</f>
        <v>0</v>
      </c>
      <c r="I12" s="112">
        <f t="shared" si="3"/>
        <v>0</v>
      </c>
      <c r="J12" s="112">
        <f t="shared" si="3"/>
        <v>0</v>
      </c>
      <c r="K12" s="112">
        <f t="shared" si="3"/>
        <v>0</v>
      </c>
      <c r="L12" s="112">
        <f t="shared" si="3"/>
        <v>0</v>
      </c>
      <c r="M12" s="144">
        <f>M14+M13</f>
        <v>0</v>
      </c>
      <c r="N12" s="187"/>
    </row>
    <row r="13" spans="1:14" s="4" customFormat="1" ht="58.5" customHeight="1" hidden="1">
      <c r="A13" s="14"/>
      <c r="B13" s="14"/>
      <c r="C13" s="27">
        <v>6260</v>
      </c>
      <c r="D13" s="28" t="s">
        <v>199</v>
      </c>
      <c r="E13" s="106"/>
      <c r="F13" s="140"/>
      <c r="G13" s="140"/>
      <c r="H13" s="140"/>
      <c r="I13" s="140"/>
      <c r="J13" s="140"/>
      <c r="K13" s="140"/>
      <c r="L13" s="140"/>
      <c r="M13" s="141">
        <f>E13+F13+G13+H13+I13+J13+K13+L13</f>
        <v>0</v>
      </c>
      <c r="N13" s="188"/>
    </row>
    <row r="14" spans="1:14" s="4" customFormat="1" ht="61.5" customHeight="1" hidden="1">
      <c r="A14" s="14"/>
      <c r="B14" s="14"/>
      <c r="C14" s="27">
        <v>6300</v>
      </c>
      <c r="D14" s="28" t="s">
        <v>179</v>
      </c>
      <c r="E14" s="106"/>
      <c r="F14" s="140"/>
      <c r="G14" s="140"/>
      <c r="H14" s="140"/>
      <c r="I14" s="140"/>
      <c r="J14" s="140"/>
      <c r="K14" s="140"/>
      <c r="L14" s="140"/>
      <c r="M14" s="141">
        <f>E14+F14+G14+H14+I14+J14+K14</f>
        <v>0</v>
      </c>
      <c r="N14" s="188"/>
    </row>
    <row r="15" spans="1:14" s="4" customFormat="1" ht="17.25" customHeight="1">
      <c r="A15" s="5">
        <v>700</v>
      </c>
      <c r="B15" s="5"/>
      <c r="C15" s="5"/>
      <c r="D15" s="6" t="s">
        <v>21</v>
      </c>
      <c r="E15" s="100">
        <f aca="true" t="shared" si="4" ref="E15:M15">E16</f>
        <v>879172</v>
      </c>
      <c r="F15" s="240">
        <f t="shared" si="4"/>
        <v>-340000</v>
      </c>
      <c r="G15" s="142">
        <f t="shared" si="4"/>
        <v>0</v>
      </c>
      <c r="H15" s="142">
        <f t="shared" si="4"/>
        <v>0</v>
      </c>
      <c r="I15" s="142">
        <f t="shared" si="4"/>
        <v>0</v>
      </c>
      <c r="J15" s="142">
        <f t="shared" si="4"/>
        <v>0</v>
      </c>
      <c r="K15" s="142">
        <f t="shared" si="4"/>
        <v>0</v>
      </c>
      <c r="L15" s="142">
        <f t="shared" si="4"/>
        <v>0</v>
      </c>
      <c r="M15" s="100">
        <f t="shared" si="4"/>
        <v>539172</v>
      </c>
      <c r="N15" s="186"/>
    </row>
    <row r="16" spans="1:14" s="4" customFormat="1" ht="12.75">
      <c r="A16" s="7"/>
      <c r="B16" s="7">
        <v>70005</v>
      </c>
      <c r="C16" s="7"/>
      <c r="D16" s="8" t="s">
        <v>22</v>
      </c>
      <c r="E16" s="101">
        <f>SUM(E17:E22)</f>
        <v>879172</v>
      </c>
      <c r="F16" s="241">
        <f>SUM(F17:F22)</f>
        <v>-340000</v>
      </c>
      <c r="G16" s="143">
        <f aca="true" t="shared" si="5" ref="G16:L16">SUM(G17:G22)</f>
        <v>0</v>
      </c>
      <c r="H16" s="143">
        <f t="shared" si="5"/>
        <v>0</v>
      </c>
      <c r="I16" s="143">
        <f t="shared" si="5"/>
        <v>0</v>
      </c>
      <c r="J16" s="143">
        <f t="shared" si="5"/>
        <v>0</v>
      </c>
      <c r="K16" s="143">
        <f t="shared" si="5"/>
        <v>0</v>
      </c>
      <c r="L16" s="143">
        <f t="shared" si="5"/>
        <v>0</v>
      </c>
      <c r="M16" s="144">
        <f>SUM(M17:M22)</f>
        <v>539172</v>
      </c>
      <c r="N16" s="189"/>
    </row>
    <row r="17" spans="1:14" s="4" customFormat="1" ht="25.5">
      <c r="A17" s="7"/>
      <c r="B17" s="9"/>
      <c r="C17" s="10" t="s">
        <v>97</v>
      </c>
      <c r="D17" s="11" t="s">
        <v>98</v>
      </c>
      <c r="E17" s="106">
        <f>22528+17316</f>
        <v>39844</v>
      </c>
      <c r="F17" s="140">
        <v>60000</v>
      </c>
      <c r="G17" s="140"/>
      <c r="H17" s="140"/>
      <c r="I17" s="140"/>
      <c r="J17" s="140"/>
      <c r="K17" s="140"/>
      <c r="L17" s="140"/>
      <c r="M17" s="141">
        <f aca="true" t="shared" si="6" ref="M17:M22">E17+F17+G17+H17+I17+J17+K17+L17</f>
        <v>99844</v>
      </c>
      <c r="N17" s="188" t="s">
        <v>254</v>
      </c>
    </row>
    <row r="18" spans="1:14" s="4" customFormat="1" ht="51">
      <c r="A18" s="7"/>
      <c r="B18" s="9"/>
      <c r="C18" s="10" t="s">
        <v>95</v>
      </c>
      <c r="D18" s="11" t="s">
        <v>96</v>
      </c>
      <c r="E18" s="106">
        <f>20815+1600+36000+9120+300+793</f>
        <v>68628</v>
      </c>
      <c r="F18" s="140"/>
      <c r="G18" s="140"/>
      <c r="H18" s="140"/>
      <c r="I18" s="140"/>
      <c r="J18" s="140"/>
      <c r="K18" s="140"/>
      <c r="L18" s="140"/>
      <c r="M18" s="141">
        <f t="shared" si="6"/>
        <v>68628</v>
      </c>
      <c r="N18" s="188"/>
    </row>
    <row r="19" spans="1:14" s="4" customFormat="1" ht="25.5">
      <c r="A19" s="7"/>
      <c r="B19" s="9"/>
      <c r="C19" s="10" t="s">
        <v>99</v>
      </c>
      <c r="D19" s="11" t="s">
        <v>100</v>
      </c>
      <c r="E19" s="106">
        <f>5600+360000+400000</f>
        <v>765600</v>
      </c>
      <c r="F19" s="229">
        <v>-400000</v>
      </c>
      <c r="G19" s="140"/>
      <c r="H19" s="140"/>
      <c r="I19" s="140"/>
      <c r="J19" s="140"/>
      <c r="K19" s="140"/>
      <c r="L19" s="140"/>
      <c r="M19" s="141">
        <f t="shared" si="6"/>
        <v>365600</v>
      </c>
      <c r="N19" s="188" t="s">
        <v>255</v>
      </c>
    </row>
    <row r="20" spans="1:14" s="4" customFormat="1" ht="12.75">
      <c r="A20" s="7"/>
      <c r="B20" s="9"/>
      <c r="C20" s="10" t="s">
        <v>243</v>
      </c>
      <c r="D20" s="11" t="s">
        <v>244</v>
      </c>
      <c r="E20" s="106"/>
      <c r="F20" s="140"/>
      <c r="G20" s="140"/>
      <c r="H20" s="140"/>
      <c r="I20" s="140"/>
      <c r="J20" s="140"/>
      <c r="K20" s="140"/>
      <c r="L20" s="140"/>
      <c r="M20" s="141">
        <f t="shared" si="6"/>
        <v>0</v>
      </c>
      <c r="N20" s="188"/>
    </row>
    <row r="21" spans="1:14" s="4" customFormat="1" ht="25.5">
      <c r="A21" s="7"/>
      <c r="B21" s="9"/>
      <c r="C21" s="10" t="s">
        <v>101</v>
      </c>
      <c r="D21" s="11" t="s">
        <v>102</v>
      </c>
      <c r="E21" s="106">
        <v>2500</v>
      </c>
      <c r="F21" s="140"/>
      <c r="G21" s="140"/>
      <c r="H21" s="140"/>
      <c r="I21" s="140"/>
      <c r="J21" s="140"/>
      <c r="K21" s="140"/>
      <c r="L21" s="140"/>
      <c r="M21" s="141">
        <f t="shared" si="6"/>
        <v>2500</v>
      </c>
      <c r="N21" s="188"/>
    </row>
    <row r="22" spans="1:14" s="4" customFormat="1" ht="12.75">
      <c r="A22" s="7"/>
      <c r="B22" s="9"/>
      <c r="C22" s="10" t="s">
        <v>23</v>
      </c>
      <c r="D22" s="11" t="s">
        <v>24</v>
      </c>
      <c r="E22" s="106">
        <v>2600</v>
      </c>
      <c r="F22" s="140"/>
      <c r="G22" s="140"/>
      <c r="H22" s="140"/>
      <c r="I22" s="140"/>
      <c r="J22" s="140"/>
      <c r="K22" s="140"/>
      <c r="L22" s="140"/>
      <c r="M22" s="141">
        <f t="shared" si="6"/>
        <v>2600</v>
      </c>
      <c r="N22" s="188"/>
    </row>
    <row r="23" spans="1:14" s="4" customFormat="1" ht="12.75">
      <c r="A23" s="5">
        <v>750</v>
      </c>
      <c r="B23" s="5"/>
      <c r="C23" s="5"/>
      <c r="D23" s="6" t="s">
        <v>25</v>
      </c>
      <c r="E23" s="100">
        <f>E24+E27</f>
        <v>125000</v>
      </c>
      <c r="F23" s="142">
        <f>F24+F27</f>
        <v>119890</v>
      </c>
      <c r="G23" s="142">
        <f aca="true" t="shared" si="7" ref="G23:L23">G24+G27</f>
        <v>0</v>
      </c>
      <c r="H23" s="142">
        <f t="shared" si="7"/>
        <v>0</v>
      </c>
      <c r="I23" s="142">
        <f t="shared" si="7"/>
        <v>0</v>
      </c>
      <c r="J23" s="142">
        <f t="shared" si="7"/>
        <v>0</v>
      </c>
      <c r="K23" s="142">
        <f t="shared" si="7"/>
        <v>0</v>
      </c>
      <c r="L23" s="142">
        <f t="shared" si="7"/>
        <v>0</v>
      </c>
      <c r="M23" s="100">
        <f>M24+M27</f>
        <v>244890</v>
      </c>
      <c r="N23" s="186"/>
    </row>
    <row r="24" spans="1:14" s="4" customFormat="1" ht="16.5" customHeight="1">
      <c r="A24" s="7"/>
      <c r="B24" s="7">
        <v>75011</v>
      </c>
      <c r="C24" s="7"/>
      <c r="D24" s="8" t="s">
        <v>143</v>
      </c>
      <c r="E24" s="113">
        <f>SUM(E25:E26)</f>
        <v>59000</v>
      </c>
      <c r="F24" s="112">
        <f>SUM(F25:F26)</f>
        <v>0</v>
      </c>
      <c r="G24" s="112">
        <f aca="true" t="shared" si="8" ref="G24:L24">SUM(G25:G26)</f>
        <v>0</v>
      </c>
      <c r="H24" s="112">
        <f t="shared" si="8"/>
        <v>0</v>
      </c>
      <c r="I24" s="112">
        <f t="shared" si="8"/>
        <v>0</v>
      </c>
      <c r="J24" s="112">
        <f t="shared" si="8"/>
        <v>0</v>
      </c>
      <c r="K24" s="112">
        <f t="shared" si="8"/>
        <v>0</v>
      </c>
      <c r="L24" s="112">
        <f t="shared" si="8"/>
        <v>0</v>
      </c>
      <c r="M24" s="144">
        <f>SUM(M25:M26)</f>
        <v>59000</v>
      </c>
      <c r="N24" s="187"/>
    </row>
    <row r="25" spans="1:14" s="4" customFormat="1" ht="38.25">
      <c r="A25" s="7"/>
      <c r="B25" s="9"/>
      <c r="C25" s="9">
        <v>2010</v>
      </c>
      <c r="D25" s="11" t="s">
        <v>26</v>
      </c>
      <c r="E25" s="106">
        <v>58100</v>
      </c>
      <c r="F25" s="140"/>
      <c r="G25" s="140"/>
      <c r="H25" s="140"/>
      <c r="I25" s="140"/>
      <c r="J25" s="140"/>
      <c r="K25" s="140"/>
      <c r="L25" s="140"/>
      <c r="M25" s="141">
        <f>E25+F25+G25+H25+I25+J25+K25+L25</f>
        <v>58100</v>
      </c>
      <c r="N25" s="188"/>
    </row>
    <row r="26" spans="1:14" s="4" customFormat="1" ht="38.25">
      <c r="A26" s="7"/>
      <c r="B26" s="9"/>
      <c r="C26" s="9">
        <v>2360</v>
      </c>
      <c r="D26" s="11" t="s">
        <v>160</v>
      </c>
      <c r="E26" s="106">
        <v>900</v>
      </c>
      <c r="F26" s="140"/>
      <c r="G26" s="140"/>
      <c r="H26" s="140"/>
      <c r="I26" s="140"/>
      <c r="J26" s="140"/>
      <c r="K26" s="140"/>
      <c r="L26" s="140"/>
      <c r="M26" s="141">
        <f>E26+F26+G26+H26+I26+J26+K26+L26</f>
        <v>900</v>
      </c>
      <c r="N26" s="188"/>
    </row>
    <row r="27" spans="1:14" s="4" customFormat="1" ht="16.5" customHeight="1">
      <c r="A27" s="7"/>
      <c r="B27" s="7">
        <v>75023</v>
      </c>
      <c r="C27" s="7"/>
      <c r="D27" s="8" t="s">
        <v>27</v>
      </c>
      <c r="E27" s="113">
        <f>SUM(E28:E30)</f>
        <v>66000</v>
      </c>
      <c r="F27" s="112">
        <f>SUM(F28:F30)</f>
        <v>119890</v>
      </c>
      <c r="G27" s="112">
        <f aca="true" t="shared" si="9" ref="G27:L27">SUM(G28:G28)</f>
        <v>0</v>
      </c>
      <c r="H27" s="112">
        <f t="shared" si="9"/>
        <v>0</v>
      </c>
      <c r="I27" s="112">
        <f t="shared" si="9"/>
        <v>0</v>
      </c>
      <c r="J27" s="112">
        <f t="shared" si="9"/>
        <v>0</v>
      </c>
      <c r="K27" s="112">
        <f t="shared" si="9"/>
        <v>0</v>
      </c>
      <c r="L27" s="112">
        <f t="shared" si="9"/>
        <v>0</v>
      </c>
      <c r="M27" s="144">
        <f>SUM(M28:M30)</f>
        <v>185890</v>
      </c>
      <c r="N27" s="187"/>
    </row>
    <row r="28" spans="1:14" s="4" customFormat="1" ht="12.75">
      <c r="A28" s="9"/>
      <c r="B28" s="9"/>
      <c r="C28" s="10" t="s">
        <v>0</v>
      </c>
      <c r="D28" s="11" t="s">
        <v>1</v>
      </c>
      <c r="E28" s="106">
        <f>3000+10000</f>
        <v>13000</v>
      </c>
      <c r="F28" s="140"/>
      <c r="G28" s="140"/>
      <c r="H28" s="140"/>
      <c r="I28" s="140"/>
      <c r="J28" s="140"/>
      <c r="K28" s="140"/>
      <c r="L28" s="140"/>
      <c r="M28" s="141">
        <f>E28+F28+G28+H28+I28+J28+K28+L28</f>
        <v>13000</v>
      </c>
      <c r="N28" s="188"/>
    </row>
    <row r="29" spans="1:14" s="4" customFormat="1" ht="12.75">
      <c r="A29" s="9"/>
      <c r="B29" s="9"/>
      <c r="C29" s="10" t="s">
        <v>245</v>
      </c>
      <c r="D29" s="11" t="s">
        <v>246</v>
      </c>
      <c r="E29" s="106">
        <v>53000</v>
      </c>
      <c r="F29" s="140">
        <v>116390</v>
      </c>
      <c r="G29" s="140"/>
      <c r="H29" s="140"/>
      <c r="I29" s="140"/>
      <c r="J29" s="140"/>
      <c r="K29" s="140"/>
      <c r="L29" s="140"/>
      <c r="M29" s="141">
        <f>E29+F29+G29+H29+I29+J29+K29+L29</f>
        <v>169390</v>
      </c>
      <c r="N29" s="188" t="s">
        <v>250</v>
      </c>
    </row>
    <row r="30" spans="1:14" s="4" customFormat="1" ht="12.75">
      <c r="A30" s="9"/>
      <c r="B30" s="9"/>
      <c r="C30" s="10" t="s">
        <v>93</v>
      </c>
      <c r="D30" s="11" t="s">
        <v>94</v>
      </c>
      <c r="E30" s="106"/>
      <c r="F30" s="140">
        <v>3500</v>
      </c>
      <c r="G30" s="140"/>
      <c r="H30" s="140"/>
      <c r="I30" s="140"/>
      <c r="J30" s="140"/>
      <c r="K30" s="140"/>
      <c r="L30" s="140"/>
      <c r="M30" s="141">
        <f>E30+F30+G30+H30+I30+J30+K30+L30</f>
        <v>3500</v>
      </c>
      <c r="N30" s="188" t="s">
        <v>256</v>
      </c>
    </row>
    <row r="31" spans="1:14" s="4" customFormat="1" ht="25.5" hidden="1">
      <c r="A31" s="5">
        <v>751</v>
      </c>
      <c r="B31" s="190"/>
      <c r="C31" s="190"/>
      <c r="D31" s="6" t="s">
        <v>200</v>
      </c>
      <c r="E31" s="100">
        <f>E32+E34+E36</f>
        <v>1150</v>
      </c>
      <c r="F31" s="142">
        <f>F32+F34+F36</f>
        <v>0</v>
      </c>
      <c r="G31" s="142">
        <f aca="true" t="shared" si="10" ref="G31:L31">G32+G34+G36</f>
        <v>0</v>
      </c>
      <c r="H31" s="142">
        <f t="shared" si="10"/>
        <v>0</v>
      </c>
      <c r="I31" s="142">
        <f t="shared" si="10"/>
        <v>0</v>
      </c>
      <c r="J31" s="142">
        <f t="shared" si="10"/>
        <v>0</v>
      </c>
      <c r="K31" s="142">
        <f t="shared" si="10"/>
        <v>0</v>
      </c>
      <c r="L31" s="142">
        <f t="shared" si="10"/>
        <v>0</v>
      </c>
      <c r="M31" s="100">
        <f>M32+M34+M36</f>
        <v>1150</v>
      </c>
      <c r="N31" s="186"/>
    </row>
    <row r="32" spans="1:14" s="110" customFormat="1" ht="25.5" hidden="1">
      <c r="A32" s="12"/>
      <c r="B32" s="12">
        <v>75101</v>
      </c>
      <c r="C32" s="12"/>
      <c r="D32" s="102" t="s">
        <v>201</v>
      </c>
      <c r="E32" s="101">
        <f aca="true" t="shared" si="11" ref="E32:L32">E33</f>
        <v>1150</v>
      </c>
      <c r="F32" s="143">
        <f t="shared" si="11"/>
        <v>0</v>
      </c>
      <c r="G32" s="143">
        <f t="shared" si="11"/>
        <v>0</v>
      </c>
      <c r="H32" s="143">
        <f t="shared" si="11"/>
        <v>0</v>
      </c>
      <c r="I32" s="143">
        <f t="shared" si="11"/>
        <v>0</v>
      </c>
      <c r="J32" s="143">
        <f t="shared" si="11"/>
        <v>0</v>
      </c>
      <c r="K32" s="143">
        <f t="shared" si="11"/>
        <v>0</v>
      </c>
      <c r="L32" s="143">
        <f t="shared" si="11"/>
        <v>0</v>
      </c>
      <c r="M32" s="144">
        <f>M33</f>
        <v>1150</v>
      </c>
      <c r="N32" s="189"/>
    </row>
    <row r="33" spans="1:14" s="110" customFormat="1" ht="69" customHeight="1" hidden="1">
      <c r="A33" s="12"/>
      <c r="B33" s="103"/>
      <c r="C33" s="9">
        <v>2010</v>
      </c>
      <c r="D33" s="11" t="s">
        <v>26</v>
      </c>
      <c r="E33" s="114">
        <v>1150</v>
      </c>
      <c r="F33" s="214"/>
      <c r="G33" s="13"/>
      <c r="H33" s="13"/>
      <c r="I33" s="13"/>
      <c r="J33" s="13"/>
      <c r="K33" s="13"/>
      <c r="L33" s="13"/>
      <c r="M33" s="141">
        <f>E33+F33+G33+H33+I33+J33+K33+L33</f>
        <v>1150</v>
      </c>
      <c r="N33" s="191"/>
    </row>
    <row r="34" spans="1:14" s="110" customFormat="1" ht="19.5" customHeight="1" hidden="1">
      <c r="A34" s="12"/>
      <c r="B34" s="104">
        <v>75107</v>
      </c>
      <c r="C34" s="9"/>
      <c r="D34" s="18" t="s">
        <v>202</v>
      </c>
      <c r="E34" s="101">
        <f aca="true" t="shared" si="12" ref="E34:M34">E35</f>
        <v>0</v>
      </c>
      <c r="F34" s="143">
        <f t="shared" si="12"/>
        <v>0</v>
      </c>
      <c r="G34" s="143">
        <f t="shared" si="12"/>
        <v>0</v>
      </c>
      <c r="H34" s="143">
        <f t="shared" si="12"/>
        <v>0</v>
      </c>
      <c r="I34" s="143">
        <f t="shared" si="12"/>
        <v>0</v>
      </c>
      <c r="J34" s="143">
        <f t="shared" si="12"/>
        <v>0</v>
      </c>
      <c r="K34" s="143">
        <f t="shared" si="12"/>
        <v>0</v>
      </c>
      <c r="L34" s="143">
        <f t="shared" si="12"/>
        <v>0</v>
      </c>
      <c r="M34" s="146">
        <f t="shared" si="12"/>
        <v>0</v>
      </c>
      <c r="N34" s="189"/>
    </row>
    <row r="35" spans="1:14" s="110" customFormat="1" ht="51" customHeight="1" hidden="1">
      <c r="A35" s="12"/>
      <c r="B35" s="103"/>
      <c r="C35" s="9">
        <v>2010</v>
      </c>
      <c r="D35" s="11" t="s">
        <v>26</v>
      </c>
      <c r="E35" s="114"/>
      <c r="F35" s="13"/>
      <c r="G35" s="13"/>
      <c r="H35" s="13"/>
      <c r="I35" s="13"/>
      <c r="J35" s="13"/>
      <c r="K35" s="13"/>
      <c r="L35" s="13"/>
      <c r="M35" s="141">
        <f>E35+F35+G35+H35+I35+J35+K35</f>
        <v>0</v>
      </c>
      <c r="N35" s="191"/>
    </row>
    <row r="36" spans="1:14" s="110" customFormat="1" ht="12.75" customHeight="1" hidden="1">
      <c r="A36" s="12"/>
      <c r="B36" s="104">
        <v>75108</v>
      </c>
      <c r="C36" s="9"/>
      <c r="D36" s="18" t="s">
        <v>103</v>
      </c>
      <c r="E36" s="101">
        <f aca="true" t="shared" si="13" ref="E36:M36">E37</f>
        <v>0</v>
      </c>
      <c r="F36" s="143">
        <f t="shared" si="13"/>
        <v>0</v>
      </c>
      <c r="G36" s="143">
        <f t="shared" si="13"/>
        <v>0</v>
      </c>
      <c r="H36" s="143">
        <f t="shared" si="13"/>
        <v>0</v>
      </c>
      <c r="I36" s="143">
        <f t="shared" si="13"/>
        <v>0</v>
      </c>
      <c r="J36" s="143">
        <f t="shared" si="13"/>
        <v>0</v>
      </c>
      <c r="K36" s="143">
        <f t="shared" si="13"/>
        <v>0</v>
      </c>
      <c r="L36" s="143">
        <f t="shared" si="13"/>
        <v>0</v>
      </c>
      <c r="M36" s="146">
        <f t="shared" si="13"/>
        <v>0</v>
      </c>
      <c r="N36" s="189"/>
    </row>
    <row r="37" spans="1:14" s="110" customFormat="1" ht="51" customHeight="1" hidden="1">
      <c r="A37" s="12"/>
      <c r="B37" s="103"/>
      <c r="C37" s="9">
        <v>2010</v>
      </c>
      <c r="D37" s="11" t="s">
        <v>26</v>
      </c>
      <c r="E37" s="114"/>
      <c r="F37" s="13"/>
      <c r="G37" s="13"/>
      <c r="H37" s="13"/>
      <c r="I37" s="13"/>
      <c r="J37" s="13"/>
      <c r="K37" s="13"/>
      <c r="L37" s="13"/>
      <c r="M37" s="141">
        <f>E37+F37+G37+H37+I37+J37+K37+L37</f>
        <v>0</v>
      </c>
      <c r="N37" s="191"/>
    </row>
    <row r="38" spans="1:14" s="4" customFormat="1" ht="25.5" customHeight="1" hidden="1">
      <c r="A38" s="5">
        <v>754</v>
      </c>
      <c r="B38" s="5"/>
      <c r="C38" s="5"/>
      <c r="D38" s="6" t="s">
        <v>72</v>
      </c>
      <c r="E38" s="100">
        <f aca="true" t="shared" si="14" ref="E38:M38">E39</f>
        <v>0</v>
      </c>
      <c r="F38" s="142">
        <f t="shared" si="14"/>
        <v>0</v>
      </c>
      <c r="G38" s="142">
        <f t="shared" si="14"/>
        <v>0</v>
      </c>
      <c r="H38" s="142">
        <f t="shared" si="14"/>
        <v>0</v>
      </c>
      <c r="I38" s="142">
        <f t="shared" si="14"/>
        <v>0</v>
      </c>
      <c r="J38" s="142">
        <f t="shared" si="14"/>
        <v>0</v>
      </c>
      <c r="K38" s="142">
        <f t="shared" si="14"/>
        <v>0</v>
      </c>
      <c r="L38" s="142">
        <f t="shared" si="14"/>
        <v>0</v>
      </c>
      <c r="M38" s="100">
        <f t="shared" si="14"/>
        <v>0</v>
      </c>
      <c r="N38" s="186"/>
    </row>
    <row r="39" spans="1:14" s="4" customFormat="1" ht="16.5" customHeight="1" hidden="1">
      <c r="A39" s="7"/>
      <c r="B39" s="7">
        <v>75414</v>
      </c>
      <c r="C39" s="7"/>
      <c r="D39" s="8" t="s">
        <v>75</v>
      </c>
      <c r="E39" s="113">
        <f aca="true" t="shared" si="15" ref="E39:M39">SUM(E40)</f>
        <v>0</v>
      </c>
      <c r="F39" s="112">
        <f t="shared" si="15"/>
        <v>0</v>
      </c>
      <c r="G39" s="112">
        <f t="shared" si="15"/>
        <v>0</v>
      </c>
      <c r="H39" s="112">
        <f t="shared" si="15"/>
        <v>0</v>
      </c>
      <c r="I39" s="112">
        <f t="shared" si="15"/>
        <v>0</v>
      </c>
      <c r="J39" s="112">
        <f t="shared" si="15"/>
        <v>0</v>
      </c>
      <c r="K39" s="112">
        <f t="shared" si="15"/>
        <v>0</v>
      </c>
      <c r="L39" s="112">
        <f t="shared" si="15"/>
        <v>0</v>
      </c>
      <c r="M39" s="144">
        <f t="shared" si="15"/>
        <v>0</v>
      </c>
      <c r="N39" s="187"/>
    </row>
    <row r="40" spans="1:14" s="4" customFormat="1" ht="60.75" customHeight="1" hidden="1">
      <c r="A40" s="7"/>
      <c r="B40" s="9"/>
      <c r="C40" s="9">
        <v>2010</v>
      </c>
      <c r="D40" s="11" t="s">
        <v>26</v>
      </c>
      <c r="E40" s="106"/>
      <c r="F40" s="140"/>
      <c r="G40" s="140"/>
      <c r="H40" s="140"/>
      <c r="I40" s="140"/>
      <c r="J40" s="140"/>
      <c r="K40" s="140"/>
      <c r="L40" s="140"/>
      <c r="M40" s="141">
        <f>E40+F40+G40+H40+I40+J40+K40+L40</f>
        <v>0</v>
      </c>
      <c r="N40" s="188"/>
    </row>
    <row r="41" spans="1:14" s="4" customFormat="1" ht="38.25">
      <c r="A41" s="5">
        <v>756</v>
      </c>
      <c r="B41" s="5"/>
      <c r="C41" s="5"/>
      <c r="D41" s="6" t="s">
        <v>104</v>
      </c>
      <c r="E41" s="100">
        <f>E42+E53+E62+E68+E45</f>
        <v>8594234</v>
      </c>
      <c r="F41" s="242">
        <f aca="true" t="shared" si="16" ref="F41:M41">F42+F53+F62+F68+F45</f>
        <v>180955</v>
      </c>
      <c r="G41" s="142">
        <f t="shared" si="16"/>
        <v>0</v>
      </c>
      <c r="H41" s="142">
        <f t="shared" si="16"/>
        <v>0</v>
      </c>
      <c r="I41" s="142">
        <f t="shared" si="16"/>
        <v>0</v>
      </c>
      <c r="J41" s="142">
        <f t="shared" si="16"/>
        <v>0</v>
      </c>
      <c r="K41" s="142">
        <f t="shared" si="16"/>
        <v>0</v>
      </c>
      <c r="L41" s="142">
        <f t="shared" si="16"/>
        <v>0</v>
      </c>
      <c r="M41" s="100">
        <f t="shared" si="16"/>
        <v>8775189</v>
      </c>
      <c r="N41" s="186"/>
    </row>
    <row r="42" spans="1:14" s="110" customFormat="1" ht="12.75">
      <c r="A42" s="12"/>
      <c r="B42" s="12">
        <v>75601</v>
      </c>
      <c r="C42" s="12"/>
      <c r="D42" s="102" t="s">
        <v>105</v>
      </c>
      <c r="E42" s="101">
        <f>E43+E44</f>
        <v>4100</v>
      </c>
      <c r="F42" s="143">
        <f>F43+F44</f>
        <v>0</v>
      </c>
      <c r="G42" s="143">
        <f aca="true" t="shared" si="17" ref="G42:L42">G43+G44</f>
        <v>0</v>
      </c>
      <c r="H42" s="143">
        <f t="shared" si="17"/>
        <v>0</v>
      </c>
      <c r="I42" s="143">
        <f t="shared" si="17"/>
        <v>0</v>
      </c>
      <c r="J42" s="143">
        <f t="shared" si="17"/>
        <v>0</v>
      </c>
      <c r="K42" s="143">
        <f t="shared" si="17"/>
        <v>0</v>
      </c>
      <c r="L42" s="143">
        <f t="shared" si="17"/>
        <v>0</v>
      </c>
      <c r="M42" s="144">
        <f>SUM(M43:M44)</f>
        <v>4100</v>
      </c>
      <c r="N42" s="189"/>
    </row>
    <row r="43" spans="1:14" s="4" customFormat="1" ht="25.5">
      <c r="A43" s="7"/>
      <c r="B43" s="9"/>
      <c r="C43" s="10" t="s">
        <v>106</v>
      </c>
      <c r="D43" s="11" t="s">
        <v>107</v>
      </c>
      <c r="E43" s="106">
        <v>4000</v>
      </c>
      <c r="F43" s="140"/>
      <c r="G43" s="140"/>
      <c r="H43" s="140"/>
      <c r="I43" s="140"/>
      <c r="J43" s="140"/>
      <c r="K43" s="140"/>
      <c r="L43" s="140"/>
      <c r="M43" s="141">
        <f aca="true" t="shared" si="18" ref="M43:M70">E43+F43+G43+H43+I43+J43+K43+L43</f>
        <v>4000</v>
      </c>
      <c r="N43" s="188"/>
    </row>
    <row r="44" spans="1:14" s="4" customFormat="1" ht="25.5">
      <c r="A44" s="7"/>
      <c r="B44" s="9"/>
      <c r="C44" s="10" t="s">
        <v>101</v>
      </c>
      <c r="D44" s="11" t="s">
        <v>102</v>
      </c>
      <c r="E44" s="106">
        <v>100</v>
      </c>
      <c r="F44" s="140"/>
      <c r="G44" s="140"/>
      <c r="H44" s="140"/>
      <c r="I44" s="140"/>
      <c r="J44" s="140"/>
      <c r="K44" s="140"/>
      <c r="L44" s="140"/>
      <c r="M44" s="141">
        <f t="shared" si="18"/>
        <v>100</v>
      </c>
      <c r="N44" s="188"/>
    </row>
    <row r="45" spans="1:14" s="4" customFormat="1" ht="38.25">
      <c r="A45" s="7"/>
      <c r="B45" s="7">
        <v>75615</v>
      </c>
      <c r="C45" s="7"/>
      <c r="D45" s="8" t="s">
        <v>108</v>
      </c>
      <c r="E45" s="113">
        <f>SUM(E46:E51)</f>
        <v>2274285</v>
      </c>
      <c r="F45" s="112">
        <f>SUM(F46:F51)</f>
        <v>146937</v>
      </c>
      <c r="G45" s="112">
        <f aca="true" t="shared" si="19" ref="G45:L45">SUM(G46:G51)</f>
        <v>0</v>
      </c>
      <c r="H45" s="112">
        <f>SUM(H46:H52)</f>
        <v>0</v>
      </c>
      <c r="I45" s="112">
        <f t="shared" si="19"/>
        <v>0</v>
      </c>
      <c r="J45" s="112">
        <f t="shared" si="19"/>
        <v>0</v>
      </c>
      <c r="K45" s="112">
        <f t="shared" si="19"/>
        <v>0</v>
      </c>
      <c r="L45" s="112">
        <f t="shared" si="19"/>
        <v>0</v>
      </c>
      <c r="M45" s="146">
        <f>SUM(M46:M52)</f>
        <v>2421222</v>
      </c>
      <c r="N45" s="187"/>
    </row>
    <row r="46" spans="1:14" s="4" customFormat="1" ht="12.75">
      <c r="A46" s="7"/>
      <c r="B46" s="9"/>
      <c r="C46" s="10" t="s">
        <v>109</v>
      </c>
      <c r="D46" s="11" t="s">
        <v>110</v>
      </c>
      <c r="E46" s="106">
        <v>1760427</v>
      </c>
      <c r="F46" s="140">
        <v>154814</v>
      </c>
      <c r="G46" s="140"/>
      <c r="H46" s="140"/>
      <c r="I46" s="140"/>
      <c r="J46" s="140"/>
      <c r="K46" s="140"/>
      <c r="L46" s="140"/>
      <c r="M46" s="141">
        <f t="shared" si="18"/>
        <v>1915241</v>
      </c>
      <c r="N46" s="439" t="s">
        <v>257</v>
      </c>
    </row>
    <row r="47" spans="1:14" s="4" customFormat="1" ht="12.75">
      <c r="A47" s="7"/>
      <c r="B47" s="9"/>
      <c r="C47" s="10" t="s">
        <v>111</v>
      </c>
      <c r="D47" s="11" t="s">
        <v>112</v>
      </c>
      <c r="E47" s="106">
        <v>450627</v>
      </c>
      <c r="F47" s="229">
        <v>-8277</v>
      </c>
      <c r="G47" s="140"/>
      <c r="H47" s="140"/>
      <c r="I47" s="140"/>
      <c r="J47" s="140"/>
      <c r="K47" s="140"/>
      <c r="L47" s="140"/>
      <c r="M47" s="141">
        <f t="shared" si="18"/>
        <v>442350</v>
      </c>
      <c r="N47" s="440"/>
    </row>
    <row r="48" spans="1:14" s="4" customFormat="1" ht="12.75">
      <c r="A48" s="7"/>
      <c r="B48" s="9"/>
      <c r="C48" s="10" t="s">
        <v>113</v>
      </c>
      <c r="D48" s="11" t="s">
        <v>114</v>
      </c>
      <c r="E48" s="106">
        <v>37621</v>
      </c>
      <c r="F48" s="140">
        <v>400</v>
      </c>
      <c r="G48" s="140"/>
      <c r="H48" s="140"/>
      <c r="I48" s="140"/>
      <c r="J48" s="140"/>
      <c r="K48" s="140"/>
      <c r="L48" s="140"/>
      <c r="M48" s="141">
        <f t="shared" si="18"/>
        <v>38021</v>
      </c>
      <c r="N48" s="441"/>
    </row>
    <row r="49" spans="1:14" s="4" customFormat="1" ht="12.75">
      <c r="A49" s="7"/>
      <c r="B49" s="9"/>
      <c r="C49" s="10" t="s">
        <v>115</v>
      </c>
      <c r="D49" s="11" t="s">
        <v>116</v>
      </c>
      <c r="E49" s="106">
        <v>22610</v>
      </c>
      <c r="F49" s="140"/>
      <c r="G49" s="140"/>
      <c r="H49" s="140"/>
      <c r="I49" s="140"/>
      <c r="J49" s="140"/>
      <c r="K49" s="140"/>
      <c r="L49" s="140"/>
      <c r="M49" s="141">
        <f t="shared" si="18"/>
        <v>22610</v>
      </c>
      <c r="N49" s="188"/>
    </row>
    <row r="50" spans="1:14" s="4" customFormat="1" ht="12.75">
      <c r="A50" s="7"/>
      <c r="B50" s="9"/>
      <c r="C50" s="10" t="s">
        <v>117</v>
      </c>
      <c r="D50" s="11" t="s">
        <v>118</v>
      </c>
      <c r="E50" s="106">
        <v>1500</v>
      </c>
      <c r="F50" s="140"/>
      <c r="G50" s="140"/>
      <c r="H50" s="140"/>
      <c r="I50" s="140"/>
      <c r="J50" s="140"/>
      <c r="K50" s="140"/>
      <c r="L50" s="140"/>
      <c r="M50" s="141">
        <f t="shared" si="18"/>
        <v>1500</v>
      </c>
      <c r="N50" s="188"/>
    </row>
    <row r="51" spans="1:14" s="4" customFormat="1" ht="25.5">
      <c r="A51" s="7"/>
      <c r="B51" s="9"/>
      <c r="C51" s="10" t="s">
        <v>101</v>
      </c>
      <c r="D51" s="11" t="s">
        <v>102</v>
      </c>
      <c r="E51" s="106">
        <v>1500</v>
      </c>
      <c r="F51" s="140"/>
      <c r="G51" s="140"/>
      <c r="H51" s="140"/>
      <c r="I51" s="140"/>
      <c r="J51" s="140"/>
      <c r="K51" s="140"/>
      <c r="L51" s="140"/>
      <c r="M51" s="141">
        <f t="shared" si="18"/>
        <v>1500</v>
      </c>
      <c r="N51" s="188"/>
    </row>
    <row r="52" spans="1:14" s="4" customFormat="1" ht="27.75" customHeight="1" hidden="1">
      <c r="A52" s="7"/>
      <c r="B52" s="9"/>
      <c r="C52" s="10">
        <v>2680</v>
      </c>
      <c r="D52" s="11" t="s">
        <v>236</v>
      </c>
      <c r="E52" s="106"/>
      <c r="F52" s="140"/>
      <c r="G52" s="140"/>
      <c r="H52" s="140"/>
      <c r="I52" s="140"/>
      <c r="J52" s="140"/>
      <c r="K52" s="140"/>
      <c r="L52" s="140"/>
      <c r="M52" s="141">
        <f t="shared" si="18"/>
        <v>0</v>
      </c>
      <c r="N52" s="188"/>
    </row>
    <row r="53" spans="1:14" s="4" customFormat="1" ht="51">
      <c r="A53" s="7"/>
      <c r="B53" s="7">
        <v>75616</v>
      </c>
      <c r="C53" s="7"/>
      <c r="D53" s="8" t="s">
        <v>119</v>
      </c>
      <c r="E53" s="113">
        <f>SUM(E54:E61)</f>
        <v>1965129</v>
      </c>
      <c r="F53" s="112">
        <f>SUM(F54:F61)</f>
        <v>34121</v>
      </c>
      <c r="G53" s="112">
        <f aca="true" t="shared" si="20" ref="G53:L53">SUM(G54:G61)</f>
        <v>0</v>
      </c>
      <c r="H53" s="112">
        <f t="shared" si="20"/>
        <v>0</v>
      </c>
      <c r="I53" s="112">
        <f t="shared" si="20"/>
        <v>0</v>
      </c>
      <c r="J53" s="112">
        <f t="shared" si="20"/>
        <v>0</v>
      </c>
      <c r="K53" s="112">
        <f t="shared" si="20"/>
        <v>0</v>
      </c>
      <c r="L53" s="112">
        <f t="shared" si="20"/>
        <v>0</v>
      </c>
      <c r="M53" s="144">
        <f>SUM(M54:M61)</f>
        <v>1999250</v>
      </c>
      <c r="N53" s="187"/>
    </row>
    <row r="54" spans="1:14" s="4" customFormat="1" ht="12.75">
      <c r="A54" s="7"/>
      <c r="B54" s="7"/>
      <c r="C54" s="10" t="s">
        <v>109</v>
      </c>
      <c r="D54" s="11" t="s">
        <v>110</v>
      </c>
      <c r="E54" s="106">
        <v>958172</v>
      </c>
      <c r="F54" s="140">
        <v>11833</v>
      </c>
      <c r="G54" s="140"/>
      <c r="H54" s="140"/>
      <c r="I54" s="140"/>
      <c r="J54" s="140"/>
      <c r="K54" s="140"/>
      <c r="L54" s="140"/>
      <c r="M54" s="141">
        <f t="shared" si="18"/>
        <v>970005</v>
      </c>
      <c r="N54" s="439" t="s">
        <v>257</v>
      </c>
    </row>
    <row r="55" spans="1:14" s="4" customFormat="1" ht="12.75">
      <c r="A55" s="7"/>
      <c r="B55" s="7"/>
      <c r="C55" s="10" t="s">
        <v>111</v>
      </c>
      <c r="D55" s="11" t="s">
        <v>112</v>
      </c>
      <c r="E55" s="106">
        <v>572665</v>
      </c>
      <c r="F55" s="140">
        <v>22272</v>
      </c>
      <c r="G55" s="140"/>
      <c r="H55" s="140"/>
      <c r="I55" s="140"/>
      <c r="J55" s="140"/>
      <c r="K55" s="140"/>
      <c r="L55" s="140"/>
      <c r="M55" s="141">
        <f t="shared" si="18"/>
        <v>594937</v>
      </c>
      <c r="N55" s="440"/>
    </row>
    <row r="56" spans="1:14" s="4" customFormat="1" ht="12.75">
      <c r="A56" s="7"/>
      <c r="B56" s="7"/>
      <c r="C56" s="10" t="s">
        <v>113</v>
      </c>
      <c r="D56" s="11" t="s">
        <v>114</v>
      </c>
      <c r="E56" s="106">
        <v>1572</v>
      </c>
      <c r="F56" s="140">
        <v>16</v>
      </c>
      <c r="G56" s="140"/>
      <c r="H56" s="140"/>
      <c r="I56" s="140"/>
      <c r="J56" s="140"/>
      <c r="K56" s="140"/>
      <c r="L56" s="140"/>
      <c r="M56" s="141">
        <f t="shared" si="18"/>
        <v>1588</v>
      </c>
      <c r="N56" s="441"/>
    </row>
    <row r="57" spans="1:14" s="4" customFormat="1" ht="12.75">
      <c r="A57" s="7"/>
      <c r="B57" s="7"/>
      <c r="C57" s="10" t="s">
        <v>115</v>
      </c>
      <c r="D57" s="11" t="s">
        <v>116</v>
      </c>
      <c r="E57" s="106">
        <v>97720</v>
      </c>
      <c r="F57" s="140"/>
      <c r="G57" s="140"/>
      <c r="H57" s="140"/>
      <c r="I57" s="140"/>
      <c r="J57" s="140"/>
      <c r="K57" s="140"/>
      <c r="L57" s="140"/>
      <c r="M57" s="141">
        <f t="shared" si="18"/>
        <v>97720</v>
      </c>
      <c r="N57" s="188"/>
    </row>
    <row r="58" spans="1:14" s="4" customFormat="1" ht="15" customHeight="1">
      <c r="A58" s="7"/>
      <c r="B58" s="9"/>
      <c r="C58" s="10" t="s">
        <v>120</v>
      </c>
      <c r="D58" s="11" t="s">
        <v>121</v>
      </c>
      <c r="E58" s="106">
        <v>7000</v>
      </c>
      <c r="F58" s="140"/>
      <c r="G58" s="140"/>
      <c r="H58" s="140"/>
      <c r="I58" s="140"/>
      <c r="J58" s="140"/>
      <c r="K58" s="140"/>
      <c r="L58" s="140"/>
      <c r="M58" s="141">
        <f t="shared" si="18"/>
        <v>7000</v>
      </c>
      <c r="N58" s="188"/>
    </row>
    <row r="59" spans="1:14" s="4" customFormat="1" ht="12.75">
      <c r="A59" s="7"/>
      <c r="B59" s="9"/>
      <c r="C59" s="10" t="s">
        <v>122</v>
      </c>
      <c r="D59" s="11" t="s">
        <v>123</v>
      </c>
      <c r="E59" s="106">
        <v>20000</v>
      </c>
      <c r="F59" s="140"/>
      <c r="G59" s="140"/>
      <c r="H59" s="140"/>
      <c r="I59" s="140"/>
      <c r="J59" s="140"/>
      <c r="K59" s="140"/>
      <c r="L59" s="140"/>
      <c r="M59" s="141">
        <f t="shared" si="18"/>
        <v>20000</v>
      </c>
      <c r="N59" s="188"/>
    </row>
    <row r="60" spans="1:14" s="4" customFormat="1" ht="12.75">
      <c r="A60" s="7"/>
      <c r="B60" s="9"/>
      <c r="C60" s="10" t="s">
        <v>117</v>
      </c>
      <c r="D60" s="11" t="s">
        <v>118</v>
      </c>
      <c r="E60" s="106">
        <v>300000</v>
      </c>
      <c r="F60" s="140"/>
      <c r="G60" s="140"/>
      <c r="H60" s="140"/>
      <c r="I60" s="140"/>
      <c r="J60" s="140"/>
      <c r="K60" s="140"/>
      <c r="L60" s="140"/>
      <c r="M60" s="141">
        <f t="shared" si="18"/>
        <v>300000</v>
      </c>
      <c r="N60" s="188"/>
    </row>
    <row r="61" spans="1:14" s="4" customFormat="1" ht="25.5">
      <c r="A61" s="7"/>
      <c r="B61" s="9"/>
      <c r="C61" s="10" t="s">
        <v>101</v>
      </c>
      <c r="D61" s="11" t="s">
        <v>102</v>
      </c>
      <c r="E61" s="106">
        <v>8000</v>
      </c>
      <c r="F61" s="140"/>
      <c r="G61" s="140"/>
      <c r="H61" s="140"/>
      <c r="I61" s="140"/>
      <c r="J61" s="140"/>
      <c r="K61" s="140"/>
      <c r="L61" s="140"/>
      <c r="M61" s="141">
        <f t="shared" si="18"/>
        <v>8000</v>
      </c>
      <c r="N61" s="188"/>
    </row>
    <row r="62" spans="1:14" s="4" customFormat="1" ht="25.5">
      <c r="A62" s="7"/>
      <c r="B62" s="7">
        <v>75618</v>
      </c>
      <c r="C62" s="7"/>
      <c r="D62" s="8" t="s">
        <v>124</v>
      </c>
      <c r="E62" s="113">
        <f>SUM(E63:E67)</f>
        <v>751280</v>
      </c>
      <c r="F62" s="112">
        <f>SUM(F63:F67)</f>
        <v>0</v>
      </c>
      <c r="G62" s="112">
        <f aca="true" t="shared" si="21" ref="G62:L62">SUM(G63:G67)</f>
        <v>0</v>
      </c>
      <c r="H62" s="112">
        <f t="shared" si="21"/>
        <v>0</v>
      </c>
      <c r="I62" s="112">
        <f t="shared" si="21"/>
        <v>0</v>
      </c>
      <c r="J62" s="112">
        <f t="shared" si="21"/>
        <v>0</v>
      </c>
      <c r="K62" s="112">
        <f t="shared" si="21"/>
        <v>0</v>
      </c>
      <c r="L62" s="112">
        <f t="shared" si="21"/>
        <v>0</v>
      </c>
      <c r="M62" s="144">
        <f>SUM(M63:M67)</f>
        <v>751280</v>
      </c>
      <c r="N62" s="187"/>
    </row>
    <row r="63" spans="1:14" s="4" customFormat="1" ht="12.75">
      <c r="A63" s="7"/>
      <c r="B63" s="7"/>
      <c r="C63" s="10" t="s">
        <v>125</v>
      </c>
      <c r="D63" s="11" t="s">
        <v>126</v>
      </c>
      <c r="E63" s="106">
        <v>30000</v>
      </c>
      <c r="F63" s="140"/>
      <c r="G63" s="140"/>
      <c r="H63" s="140"/>
      <c r="I63" s="140"/>
      <c r="J63" s="140"/>
      <c r="K63" s="140"/>
      <c r="L63" s="140"/>
      <c r="M63" s="141">
        <f t="shared" si="18"/>
        <v>30000</v>
      </c>
      <c r="N63" s="188"/>
    </row>
    <row r="64" spans="1:14" s="4" customFormat="1" ht="12.75">
      <c r="A64" s="7"/>
      <c r="B64" s="7"/>
      <c r="C64" s="10" t="s">
        <v>127</v>
      </c>
      <c r="D64" s="11" t="s">
        <v>128</v>
      </c>
      <c r="E64" s="106">
        <v>45000</v>
      </c>
      <c r="F64" s="140"/>
      <c r="G64" s="140"/>
      <c r="H64" s="140"/>
      <c r="I64" s="140"/>
      <c r="J64" s="140"/>
      <c r="K64" s="140"/>
      <c r="L64" s="140"/>
      <c r="M64" s="141">
        <f t="shared" si="18"/>
        <v>45000</v>
      </c>
      <c r="N64" s="188"/>
    </row>
    <row r="65" spans="1:14" s="4" customFormat="1" ht="12.75">
      <c r="A65" s="7"/>
      <c r="B65" s="7"/>
      <c r="C65" s="10" t="s">
        <v>129</v>
      </c>
      <c r="D65" s="11" t="s">
        <v>130</v>
      </c>
      <c r="E65" s="106">
        <v>85000</v>
      </c>
      <c r="F65" s="140"/>
      <c r="G65" s="140"/>
      <c r="H65" s="140"/>
      <c r="I65" s="140"/>
      <c r="J65" s="140"/>
      <c r="K65" s="140"/>
      <c r="L65" s="140"/>
      <c r="M65" s="141">
        <f t="shared" si="18"/>
        <v>85000</v>
      </c>
      <c r="N65" s="188"/>
    </row>
    <row r="66" spans="1:14" s="4" customFormat="1" ht="38.25">
      <c r="A66" s="7"/>
      <c r="B66" s="7"/>
      <c r="C66" s="10" t="s">
        <v>131</v>
      </c>
      <c r="D66" s="11" t="s">
        <v>132</v>
      </c>
      <c r="E66" s="106">
        <f>250000+150000+177000+2280+6000</f>
        <v>585280</v>
      </c>
      <c r="F66" s="140"/>
      <c r="G66" s="140"/>
      <c r="H66" s="140"/>
      <c r="I66" s="140"/>
      <c r="J66" s="140"/>
      <c r="K66" s="140"/>
      <c r="L66" s="140"/>
      <c r="M66" s="141">
        <f t="shared" si="18"/>
        <v>585280</v>
      </c>
      <c r="N66" s="188"/>
    </row>
    <row r="67" spans="1:14" s="4" customFormat="1" ht="25.5">
      <c r="A67" s="7"/>
      <c r="B67" s="9"/>
      <c r="C67" s="10" t="s">
        <v>101</v>
      </c>
      <c r="D67" s="11" t="s">
        <v>102</v>
      </c>
      <c r="E67" s="106">
        <v>6000</v>
      </c>
      <c r="F67" s="140"/>
      <c r="G67" s="140"/>
      <c r="H67" s="140"/>
      <c r="I67" s="140"/>
      <c r="J67" s="140"/>
      <c r="K67" s="140"/>
      <c r="L67" s="140"/>
      <c r="M67" s="141">
        <f t="shared" si="18"/>
        <v>6000</v>
      </c>
      <c r="N67" s="188"/>
    </row>
    <row r="68" spans="1:14" s="4" customFormat="1" ht="25.5">
      <c r="A68" s="7"/>
      <c r="B68" s="7">
        <v>75621</v>
      </c>
      <c r="C68" s="7"/>
      <c r="D68" s="8" t="s">
        <v>133</v>
      </c>
      <c r="E68" s="113">
        <f>SUM(E69:E70)</f>
        <v>3599440</v>
      </c>
      <c r="F68" s="243">
        <f>SUM(F69:F70)</f>
        <v>-103</v>
      </c>
      <c r="G68" s="112">
        <f aca="true" t="shared" si="22" ref="G68:L68">SUM(G69:G70)</f>
        <v>0</v>
      </c>
      <c r="H68" s="112">
        <f t="shared" si="22"/>
        <v>0</v>
      </c>
      <c r="I68" s="112">
        <f t="shared" si="22"/>
        <v>0</v>
      </c>
      <c r="J68" s="112">
        <f t="shared" si="22"/>
        <v>0</v>
      </c>
      <c r="K68" s="112">
        <f t="shared" si="22"/>
        <v>0</v>
      </c>
      <c r="L68" s="112">
        <f t="shared" si="22"/>
        <v>0</v>
      </c>
      <c r="M68" s="144">
        <f>SUM(M69:M70)</f>
        <v>3599337</v>
      </c>
      <c r="N68" s="187"/>
    </row>
    <row r="69" spans="1:14" s="4" customFormat="1" ht="22.5">
      <c r="A69" s="7"/>
      <c r="B69" s="9"/>
      <c r="C69" s="10" t="s">
        <v>134</v>
      </c>
      <c r="D69" s="11" t="s">
        <v>135</v>
      </c>
      <c r="E69" s="106">
        <v>3149440</v>
      </c>
      <c r="F69" s="229">
        <v>-103</v>
      </c>
      <c r="G69" s="140"/>
      <c r="H69" s="140"/>
      <c r="I69" s="140"/>
      <c r="J69" s="140"/>
      <c r="K69" s="140"/>
      <c r="L69" s="140"/>
      <c r="M69" s="141">
        <f t="shared" si="18"/>
        <v>3149337</v>
      </c>
      <c r="N69" s="135" t="s">
        <v>258</v>
      </c>
    </row>
    <row r="70" spans="1:14" s="4" customFormat="1" ht="12.75">
      <c r="A70" s="7"/>
      <c r="B70" s="9"/>
      <c r="C70" s="10" t="s">
        <v>136</v>
      </c>
      <c r="D70" s="11" t="s">
        <v>137</v>
      </c>
      <c r="E70" s="106">
        <v>450000</v>
      </c>
      <c r="F70" s="140"/>
      <c r="G70" s="140"/>
      <c r="H70" s="140"/>
      <c r="I70" s="140"/>
      <c r="J70" s="140"/>
      <c r="K70" s="140"/>
      <c r="L70" s="140"/>
      <c r="M70" s="141">
        <f t="shared" si="18"/>
        <v>450000</v>
      </c>
      <c r="N70" s="188"/>
    </row>
    <row r="71" spans="1:14" s="4" customFormat="1" ht="12.75">
      <c r="A71" s="5">
        <v>758</v>
      </c>
      <c r="B71" s="5"/>
      <c r="C71" s="5"/>
      <c r="D71" s="6" t="s">
        <v>28</v>
      </c>
      <c r="E71" s="100">
        <f>E72+E74+E76+E79</f>
        <v>5945968</v>
      </c>
      <c r="F71" s="240">
        <f>F72+F74+F76+F79</f>
        <v>77588</v>
      </c>
      <c r="G71" s="142">
        <f aca="true" t="shared" si="23" ref="G71:L71">G72+G74+G76+G79</f>
        <v>0</v>
      </c>
      <c r="H71" s="142">
        <f t="shared" si="23"/>
        <v>0</v>
      </c>
      <c r="I71" s="142">
        <f t="shared" si="23"/>
        <v>0</v>
      </c>
      <c r="J71" s="142">
        <f t="shared" si="23"/>
        <v>0</v>
      </c>
      <c r="K71" s="142">
        <f t="shared" si="23"/>
        <v>0</v>
      </c>
      <c r="L71" s="142">
        <f t="shared" si="23"/>
        <v>0</v>
      </c>
      <c r="M71" s="100">
        <f>M72+M74+M76+M79</f>
        <v>6023556</v>
      </c>
      <c r="N71" s="186"/>
    </row>
    <row r="72" spans="1:14" s="4" customFormat="1" ht="29.25" customHeight="1">
      <c r="A72" s="7"/>
      <c r="B72" s="7">
        <v>75801</v>
      </c>
      <c r="C72" s="7"/>
      <c r="D72" s="8" t="s">
        <v>161</v>
      </c>
      <c r="E72" s="113">
        <f aca="true" t="shared" si="24" ref="E72:M72">E73</f>
        <v>5056696</v>
      </c>
      <c r="F72" s="243">
        <f t="shared" si="24"/>
        <v>-27388</v>
      </c>
      <c r="G72" s="112">
        <f t="shared" si="24"/>
        <v>0</v>
      </c>
      <c r="H72" s="112">
        <f t="shared" si="24"/>
        <v>0</v>
      </c>
      <c r="I72" s="112">
        <f t="shared" si="24"/>
        <v>0</v>
      </c>
      <c r="J72" s="112">
        <f t="shared" si="24"/>
        <v>0</v>
      </c>
      <c r="K72" s="112">
        <f t="shared" si="24"/>
        <v>0</v>
      </c>
      <c r="L72" s="112">
        <f t="shared" si="24"/>
        <v>0</v>
      </c>
      <c r="M72" s="144">
        <f t="shared" si="24"/>
        <v>5029308</v>
      </c>
      <c r="N72" s="187"/>
    </row>
    <row r="73" spans="1:14" s="4" customFormat="1" ht="22.5">
      <c r="A73" s="7"/>
      <c r="B73" s="9"/>
      <c r="C73" s="9">
        <v>2920</v>
      </c>
      <c r="D73" s="11" t="s">
        <v>162</v>
      </c>
      <c r="E73" s="106">
        <v>5056696</v>
      </c>
      <c r="F73" s="229">
        <v>-27388</v>
      </c>
      <c r="G73" s="140"/>
      <c r="H73" s="140"/>
      <c r="I73" s="140"/>
      <c r="J73" s="140"/>
      <c r="K73" s="140"/>
      <c r="L73" s="140"/>
      <c r="M73" s="141">
        <f aca="true" t="shared" si="25" ref="M73:M80">E73+F73+G73+H73+I73+J73+K73+L73</f>
        <v>5029308</v>
      </c>
      <c r="N73" s="135" t="s">
        <v>258</v>
      </c>
    </row>
    <row r="74" spans="1:14" s="4" customFormat="1" ht="12.75">
      <c r="A74" s="7"/>
      <c r="B74" s="7">
        <v>75807</v>
      </c>
      <c r="C74" s="7"/>
      <c r="D74" s="8" t="s">
        <v>163</v>
      </c>
      <c r="E74" s="113">
        <f aca="true" t="shared" si="26" ref="E74:M74">E75</f>
        <v>736677</v>
      </c>
      <c r="F74" s="112">
        <f t="shared" si="26"/>
        <v>0</v>
      </c>
      <c r="G74" s="112">
        <f t="shared" si="26"/>
        <v>0</v>
      </c>
      <c r="H74" s="112">
        <f t="shared" si="26"/>
        <v>0</v>
      </c>
      <c r="I74" s="112">
        <f t="shared" si="26"/>
        <v>0</v>
      </c>
      <c r="J74" s="112">
        <f t="shared" si="26"/>
        <v>0</v>
      </c>
      <c r="K74" s="112">
        <f t="shared" si="26"/>
        <v>0</v>
      </c>
      <c r="L74" s="112">
        <f t="shared" si="26"/>
        <v>0</v>
      </c>
      <c r="M74" s="144">
        <f t="shared" si="26"/>
        <v>736677</v>
      </c>
      <c r="N74" s="187"/>
    </row>
    <row r="75" spans="1:14" s="4" customFormat="1" ht="12.75">
      <c r="A75" s="7"/>
      <c r="B75" s="9"/>
      <c r="C75" s="9">
        <v>2920</v>
      </c>
      <c r="D75" s="11" t="s">
        <v>162</v>
      </c>
      <c r="E75" s="106">
        <v>736677</v>
      </c>
      <c r="F75" s="140"/>
      <c r="G75" s="140"/>
      <c r="H75" s="140"/>
      <c r="I75" s="140"/>
      <c r="J75" s="140"/>
      <c r="K75" s="140"/>
      <c r="L75" s="140"/>
      <c r="M75" s="141">
        <f t="shared" si="25"/>
        <v>736677</v>
      </c>
      <c r="N75" s="188"/>
    </row>
    <row r="76" spans="1:14" s="119" customFormat="1" ht="12.75">
      <c r="A76" s="7"/>
      <c r="B76" s="7">
        <v>75814</v>
      </c>
      <c r="C76" s="7"/>
      <c r="D76" s="8" t="s">
        <v>164</v>
      </c>
      <c r="E76" s="113">
        <f aca="true" t="shared" si="27" ref="E76:L76">E77</f>
        <v>70000</v>
      </c>
      <c r="F76" s="244">
        <f>SUM(F77:F78)</f>
        <v>104976</v>
      </c>
      <c r="G76" s="112">
        <f t="shared" si="27"/>
        <v>0</v>
      </c>
      <c r="H76" s="112">
        <f t="shared" si="27"/>
        <v>0</v>
      </c>
      <c r="I76" s="112">
        <f t="shared" si="27"/>
        <v>0</v>
      </c>
      <c r="J76" s="112">
        <f t="shared" si="27"/>
        <v>0</v>
      </c>
      <c r="K76" s="112">
        <f t="shared" si="27"/>
        <v>0</v>
      </c>
      <c r="L76" s="112">
        <f t="shared" si="27"/>
        <v>0</v>
      </c>
      <c r="M76" s="144">
        <f>M77+M78</f>
        <v>174976</v>
      </c>
      <c r="N76" s="187"/>
    </row>
    <row r="77" spans="1:14" s="4" customFormat="1" ht="22.5">
      <c r="A77" s="7"/>
      <c r="B77" s="9"/>
      <c r="C77" s="10" t="s">
        <v>23</v>
      </c>
      <c r="D77" s="11" t="s">
        <v>24</v>
      </c>
      <c r="E77" s="106">
        <v>70000</v>
      </c>
      <c r="F77" s="229">
        <v>-40000</v>
      </c>
      <c r="G77" s="140"/>
      <c r="H77" s="140"/>
      <c r="I77" s="140"/>
      <c r="J77" s="140"/>
      <c r="K77" s="140"/>
      <c r="L77" s="140"/>
      <c r="M77" s="141">
        <f t="shared" si="25"/>
        <v>30000</v>
      </c>
      <c r="N77" s="188" t="s">
        <v>259</v>
      </c>
    </row>
    <row r="78" spans="1:14" s="4" customFormat="1" ht="25.5">
      <c r="A78" s="7"/>
      <c r="B78" s="9"/>
      <c r="C78" s="10">
        <v>2370</v>
      </c>
      <c r="D78" s="11" t="s">
        <v>165</v>
      </c>
      <c r="E78" s="106"/>
      <c r="F78" s="140">
        <v>144976</v>
      </c>
      <c r="G78" s="140"/>
      <c r="H78" s="140"/>
      <c r="I78" s="140"/>
      <c r="J78" s="140"/>
      <c r="K78" s="140"/>
      <c r="L78" s="140"/>
      <c r="M78" s="141">
        <f t="shared" si="25"/>
        <v>144976</v>
      </c>
      <c r="N78" s="188" t="s">
        <v>260</v>
      </c>
    </row>
    <row r="79" spans="1:14" s="4" customFormat="1" ht="12.75">
      <c r="A79" s="7"/>
      <c r="B79" s="7">
        <v>75831</v>
      </c>
      <c r="C79" s="7"/>
      <c r="D79" s="8" t="s">
        <v>166</v>
      </c>
      <c r="E79" s="113">
        <f aca="true" t="shared" si="28" ref="E79:M79">E80</f>
        <v>82595</v>
      </c>
      <c r="F79" s="112">
        <f t="shared" si="28"/>
        <v>0</v>
      </c>
      <c r="G79" s="112">
        <f t="shared" si="28"/>
        <v>0</v>
      </c>
      <c r="H79" s="112">
        <f t="shared" si="28"/>
        <v>0</v>
      </c>
      <c r="I79" s="112">
        <f t="shared" si="28"/>
        <v>0</v>
      </c>
      <c r="J79" s="112">
        <f t="shared" si="28"/>
        <v>0</v>
      </c>
      <c r="K79" s="112">
        <f t="shared" si="28"/>
        <v>0</v>
      </c>
      <c r="L79" s="112">
        <f t="shared" si="28"/>
        <v>0</v>
      </c>
      <c r="M79" s="144">
        <f t="shared" si="28"/>
        <v>82595</v>
      </c>
      <c r="N79" s="187"/>
    </row>
    <row r="80" spans="1:14" s="4" customFormat="1" ht="12.75">
      <c r="A80" s="7"/>
      <c r="B80" s="9"/>
      <c r="C80" s="9">
        <v>2920</v>
      </c>
      <c r="D80" s="11" t="s">
        <v>162</v>
      </c>
      <c r="E80" s="106">
        <v>82595</v>
      </c>
      <c r="F80" s="140"/>
      <c r="G80" s="140"/>
      <c r="H80" s="140"/>
      <c r="I80" s="140"/>
      <c r="J80" s="140"/>
      <c r="K80" s="140"/>
      <c r="L80" s="140"/>
      <c r="M80" s="141">
        <f t="shared" si="25"/>
        <v>82595</v>
      </c>
      <c r="N80" s="188"/>
    </row>
    <row r="81" spans="1:14" s="4" customFormat="1" ht="15" customHeight="1" hidden="1">
      <c r="A81" s="5">
        <v>801</v>
      </c>
      <c r="B81" s="5"/>
      <c r="C81" s="5"/>
      <c r="D81" s="6" t="s">
        <v>29</v>
      </c>
      <c r="E81" s="100">
        <f>E82+E85+E89+E92+E94+E97</f>
        <v>173783</v>
      </c>
      <c r="F81" s="142">
        <f>F82+F85+F89+F92+F94+F97</f>
        <v>0</v>
      </c>
      <c r="G81" s="142">
        <f aca="true" t="shared" si="29" ref="G81:L81">G82+G85+G89+G92+G94+G97</f>
        <v>0</v>
      </c>
      <c r="H81" s="142">
        <f t="shared" si="29"/>
        <v>0</v>
      </c>
      <c r="I81" s="142">
        <f t="shared" si="29"/>
        <v>0</v>
      </c>
      <c r="J81" s="142">
        <f t="shared" si="29"/>
        <v>0</v>
      </c>
      <c r="K81" s="142">
        <f t="shared" si="29"/>
        <v>0</v>
      </c>
      <c r="L81" s="142">
        <f t="shared" si="29"/>
        <v>0</v>
      </c>
      <c r="M81" s="100">
        <f>M82+M85+M89+M92+M94+M97</f>
        <v>173783</v>
      </c>
      <c r="N81" s="186"/>
    </row>
    <row r="82" spans="1:14" s="4" customFormat="1" ht="12.75" hidden="1">
      <c r="A82" s="14"/>
      <c r="B82" s="14">
        <v>80101</v>
      </c>
      <c r="C82" s="14"/>
      <c r="D82" s="8" t="s">
        <v>30</v>
      </c>
      <c r="E82" s="113">
        <f aca="true" t="shared" si="30" ref="E82:L82">E83</f>
        <v>9000</v>
      </c>
      <c r="F82" s="112">
        <f t="shared" si="30"/>
        <v>0</v>
      </c>
      <c r="G82" s="112">
        <f t="shared" si="30"/>
        <v>0</v>
      </c>
      <c r="H82" s="112">
        <f>H83+H84</f>
        <v>0</v>
      </c>
      <c r="I82" s="112">
        <f t="shared" si="30"/>
        <v>0</v>
      </c>
      <c r="J82" s="112">
        <f t="shared" si="30"/>
        <v>0</v>
      </c>
      <c r="K82" s="112">
        <f t="shared" si="30"/>
        <v>0</v>
      </c>
      <c r="L82" s="112">
        <f t="shared" si="30"/>
        <v>0</v>
      </c>
      <c r="M82" s="144">
        <f>M83+M84</f>
        <v>9000</v>
      </c>
      <c r="N82" s="187"/>
    </row>
    <row r="83" spans="1:14" s="110" customFormat="1" ht="26.25" customHeight="1" hidden="1">
      <c r="A83" s="12"/>
      <c r="B83" s="12"/>
      <c r="C83" s="15" t="s">
        <v>93</v>
      </c>
      <c r="D83" s="16" t="s">
        <v>94</v>
      </c>
      <c r="E83" s="114">
        <v>9000</v>
      </c>
      <c r="F83" s="13"/>
      <c r="G83" s="13"/>
      <c r="H83" s="13"/>
      <c r="I83" s="13"/>
      <c r="J83" s="13"/>
      <c r="K83" s="13"/>
      <c r="L83" s="13"/>
      <c r="M83" s="141">
        <f aca="true" t="shared" si="31" ref="M83:M91">E83+F83+G83+H83+I83+J83+K83+L83</f>
        <v>9000</v>
      </c>
      <c r="N83" s="191"/>
    </row>
    <row r="84" spans="1:14" s="110" customFormat="1" ht="27.75" customHeight="1" hidden="1">
      <c r="A84" s="12"/>
      <c r="B84" s="12"/>
      <c r="C84" s="15">
        <v>2030</v>
      </c>
      <c r="D84" s="16" t="s">
        <v>31</v>
      </c>
      <c r="E84" s="114"/>
      <c r="F84" s="13"/>
      <c r="G84" s="13"/>
      <c r="H84" s="13"/>
      <c r="I84" s="13"/>
      <c r="J84" s="13"/>
      <c r="K84" s="13"/>
      <c r="L84" s="13"/>
      <c r="M84" s="141">
        <f t="shared" si="31"/>
        <v>0</v>
      </c>
      <c r="N84" s="191"/>
    </row>
    <row r="85" spans="1:14" s="4" customFormat="1" ht="12.75" hidden="1">
      <c r="A85" s="14"/>
      <c r="B85" s="14">
        <v>80104</v>
      </c>
      <c r="C85" s="14"/>
      <c r="D85" s="17" t="s">
        <v>32</v>
      </c>
      <c r="E85" s="113">
        <f>SUM(E86:E88)</f>
        <v>146400</v>
      </c>
      <c r="F85" s="112">
        <f>SUM(F86:F88)</f>
        <v>0</v>
      </c>
      <c r="G85" s="112">
        <f aca="true" t="shared" si="32" ref="G85:L85">SUM(G86:G88)</f>
        <v>0</v>
      </c>
      <c r="H85" s="112">
        <f t="shared" si="32"/>
        <v>0</v>
      </c>
      <c r="I85" s="112">
        <f t="shared" si="32"/>
        <v>0</v>
      </c>
      <c r="J85" s="112">
        <f t="shared" si="32"/>
        <v>0</v>
      </c>
      <c r="K85" s="112">
        <f t="shared" si="32"/>
        <v>0</v>
      </c>
      <c r="L85" s="112">
        <f t="shared" si="32"/>
        <v>0</v>
      </c>
      <c r="M85" s="144">
        <f>SUM(M86:M88)</f>
        <v>146400</v>
      </c>
      <c r="N85" s="187"/>
    </row>
    <row r="86" spans="1:14" s="4" customFormat="1" ht="12.75" hidden="1">
      <c r="A86" s="14"/>
      <c r="B86" s="14"/>
      <c r="C86" s="10" t="s">
        <v>138</v>
      </c>
      <c r="D86" s="11" t="s">
        <v>139</v>
      </c>
      <c r="E86" s="106">
        <v>138600</v>
      </c>
      <c r="F86" s="140"/>
      <c r="G86" s="140"/>
      <c r="H86" s="140"/>
      <c r="I86" s="140"/>
      <c r="J86" s="140"/>
      <c r="K86" s="140"/>
      <c r="L86" s="140"/>
      <c r="M86" s="141">
        <f t="shared" si="31"/>
        <v>138600</v>
      </c>
      <c r="N86" s="188"/>
    </row>
    <row r="87" spans="1:14" s="4" customFormat="1" ht="27.75" customHeight="1" hidden="1">
      <c r="A87" s="14"/>
      <c r="B87" s="14"/>
      <c r="C87" s="10" t="s">
        <v>101</v>
      </c>
      <c r="D87" s="11" t="s">
        <v>102</v>
      </c>
      <c r="E87" s="106">
        <v>100</v>
      </c>
      <c r="F87" s="140"/>
      <c r="G87" s="140"/>
      <c r="H87" s="140"/>
      <c r="I87" s="140"/>
      <c r="J87" s="140"/>
      <c r="K87" s="140"/>
      <c r="L87" s="140"/>
      <c r="M87" s="141">
        <f t="shared" si="31"/>
        <v>100</v>
      </c>
      <c r="N87" s="188"/>
    </row>
    <row r="88" spans="1:14" s="4" customFormat="1" ht="16.5" customHeight="1" hidden="1">
      <c r="A88" s="14"/>
      <c r="B88" s="14"/>
      <c r="C88" s="15" t="s">
        <v>93</v>
      </c>
      <c r="D88" s="16" t="s">
        <v>94</v>
      </c>
      <c r="E88" s="106">
        <v>7700</v>
      </c>
      <c r="F88" s="140"/>
      <c r="G88" s="140"/>
      <c r="H88" s="140"/>
      <c r="I88" s="140"/>
      <c r="J88" s="140"/>
      <c r="K88" s="140"/>
      <c r="L88" s="140"/>
      <c r="M88" s="141">
        <f t="shared" si="31"/>
        <v>7700</v>
      </c>
      <c r="N88" s="188"/>
    </row>
    <row r="89" spans="1:14" s="4" customFormat="1" ht="12.75" customHeight="1" hidden="1">
      <c r="A89" s="14"/>
      <c r="B89" s="7">
        <v>80110</v>
      </c>
      <c r="C89" s="7"/>
      <c r="D89" s="8" t="s">
        <v>33</v>
      </c>
      <c r="E89" s="113">
        <f>E90+E91</f>
        <v>0</v>
      </c>
      <c r="F89" s="112">
        <f>F90+F91</f>
        <v>0</v>
      </c>
      <c r="G89" s="112">
        <f aca="true" t="shared" si="33" ref="G89:L89">G90+G91</f>
        <v>0</v>
      </c>
      <c r="H89" s="112">
        <f t="shared" si="33"/>
        <v>0</v>
      </c>
      <c r="I89" s="112">
        <f t="shared" si="33"/>
        <v>0</v>
      </c>
      <c r="J89" s="112">
        <f t="shared" si="33"/>
        <v>0</v>
      </c>
      <c r="K89" s="112">
        <f t="shared" si="33"/>
        <v>0</v>
      </c>
      <c r="L89" s="112">
        <f t="shared" si="33"/>
        <v>0</v>
      </c>
      <c r="M89" s="144">
        <f>M90+M91</f>
        <v>0</v>
      </c>
      <c r="N89" s="187"/>
    </row>
    <row r="90" spans="1:14" s="4" customFormat="1" ht="32.25" customHeight="1" hidden="1">
      <c r="A90" s="14"/>
      <c r="B90" s="14"/>
      <c r="C90" s="10">
        <v>6298</v>
      </c>
      <c r="D90" s="11" t="s">
        <v>140</v>
      </c>
      <c r="E90" s="106"/>
      <c r="F90" s="140"/>
      <c r="G90" s="140"/>
      <c r="H90" s="140"/>
      <c r="I90" s="140"/>
      <c r="J90" s="140"/>
      <c r="K90" s="140"/>
      <c r="L90" s="140"/>
      <c r="M90" s="141">
        <f t="shared" si="31"/>
        <v>0</v>
      </c>
      <c r="N90" s="188"/>
    </row>
    <row r="91" spans="1:14" s="4" customFormat="1" ht="40.5" customHeight="1" hidden="1">
      <c r="A91" s="14"/>
      <c r="B91" s="14"/>
      <c r="C91" s="10">
        <v>6339</v>
      </c>
      <c r="D91" s="11" t="s">
        <v>141</v>
      </c>
      <c r="E91" s="106"/>
      <c r="F91" s="140"/>
      <c r="G91" s="140"/>
      <c r="H91" s="140"/>
      <c r="I91" s="140"/>
      <c r="J91" s="140"/>
      <c r="K91" s="140"/>
      <c r="L91" s="140"/>
      <c r="M91" s="141">
        <f t="shared" si="31"/>
        <v>0</v>
      </c>
      <c r="N91" s="188"/>
    </row>
    <row r="92" spans="1:14" s="4" customFormat="1" ht="12.75" customHeight="1" hidden="1">
      <c r="A92" s="14"/>
      <c r="B92" s="7">
        <v>80113</v>
      </c>
      <c r="C92" s="7"/>
      <c r="D92" s="8" t="s">
        <v>154</v>
      </c>
      <c r="E92" s="113">
        <f aca="true" t="shared" si="34" ref="E92:M92">E93</f>
        <v>0</v>
      </c>
      <c r="F92" s="112">
        <f t="shared" si="34"/>
        <v>0</v>
      </c>
      <c r="G92" s="112">
        <f t="shared" si="34"/>
        <v>0</v>
      </c>
      <c r="H92" s="112">
        <f t="shared" si="34"/>
        <v>0</v>
      </c>
      <c r="I92" s="112">
        <f t="shared" si="34"/>
        <v>0</v>
      </c>
      <c r="J92" s="112">
        <f t="shared" si="34"/>
        <v>0</v>
      </c>
      <c r="K92" s="112">
        <f t="shared" si="34"/>
        <v>0</v>
      </c>
      <c r="L92" s="112">
        <f t="shared" si="34"/>
        <v>0</v>
      </c>
      <c r="M92" s="144">
        <f t="shared" si="34"/>
        <v>0</v>
      </c>
      <c r="N92" s="187"/>
    </row>
    <row r="93" spans="1:14" s="4" customFormat="1" ht="12.75" customHeight="1" hidden="1">
      <c r="A93" s="14"/>
      <c r="B93" s="14"/>
      <c r="C93" s="15" t="s">
        <v>93</v>
      </c>
      <c r="D93" s="16" t="s">
        <v>94</v>
      </c>
      <c r="E93" s="106"/>
      <c r="F93" s="140"/>
      <c r="G93" s="140"/>
      <c r="H93" s="140"/>
      <c r="I93" s="140"/>
      <c r="J93" s="140"/>
      <c r="K93" s="140"/>
      <c r="L93" s="140"/>
      <c r="M93" s="141">
        <f>E93+F93+G93+H93+I93+J93+K93</f>
        <v>0</v>
      </c>
      <c r="N93" s="188"/>
    </row>
    <row r="94" spans="1:14" s="4" customFormat="1" ht="27.75" customHeight="1" hidden="1">
      <c r="A94" s="14"/>
      <c r="B94" s="7">
        <v>80114</v>
      </c>
      <c r="C94" s="7"/>
      <c r="D94" s="8" t="s">
        <v>142</v>
      </c>
      <c r="E94" s="113">
        <f>E95+E96</f>
        <v>500</v>
      </c>
      <c r="F94" s="112">
        <f>F95+F96</f>
        <v>0</v>
      </c>
      <c r="G94" s="112">
        <f aca="true" t="shared" si="35" ref="G94:L94">G95+G96</f>
        <v>0</v>
      </c>
      <c r="H94" s="112">
        <f t="shared" si="35"/>
        <v>0</v>
      </c>
      <c r="I94" s="112">
        <f t="shared" si="35"/>
        <v>0</v>
      </c>
      <c r="J94" s="112">
        <f t="shared" si="35"/>
        <v>0</v>
      </c>
      <c r="K94" s="112">
        <f t="shared" si="35"/>
        <v>0</v>
      </c>
      <c r="L94" s="112">
        <f t="shared" si="35"/>
        <v>0</v>
      </c>
      <c r="M94" s="144">
        <f>E94+F94+G94+H94+I94+J94+K94</f>
        <v>500</v>
      </c>
      <c r="N94" s="187"/>
    </row>
    <row r="95" spans="1:14" s="4" customFormat="1" ht="12.75" hidden="1">
      <c r="A95" s="14"/>
      <c r="B95" s="14"/>
      <c r="C95" s="10" t="s">
        <v>23</v>
      </c>
      <c r="D95" s="11" t="s">
        <v>24</v>
      </c>
      <c r="E95" s="106">
        <v>500</v>
      </c>
      <c r="F95" s="140"/>
      <c r="G95" s="140"/>
      <c r="H95" s="140"/>
      <c r="I95" s="140"/>
      <c r="J95" s="140"/>
      <c r="K95" s="140"/>
      <c r="L95" s="140"/>
      <c r="M95" s="141">
        <f>E95+F95+G95+H95+I95+J95+K95+L95</f>
        <v>500</v>
      </c>
      <c r="N95" s="188"/>
    </row>
    <row r="96" spans="1:14" s="4" customFormat="1" ht="22.5" customHeight="1" hidden="1">
      <c r="A96" s="14"/>
      <c r="B96" s="14"/>
      <c r="C96" s="15" t="s">
        <v>93</v>
      </c>
      <c r="D96" s="16" t="s">
        <v>94</v>
      </c>
      <c r="E96" s="106"/>
      <c r="F96" s="140"/>
      <c r="G96" s="140"/>
      <c r="H96" s="140"/>
      <c r="I96" s="140"/>
      <c r="J96" s="140"/>
      <c r="K96" s="140"/>
      <c r="L96" s="140"/>
      <c r="M96" s="141">
        <f>E96+F96+G96+H96+I96+J96+K96+L96</f>
        <v>0</v>
      </c>
      <c r="N96" s="188"/>
    </row>
    <row r="97" spans="1:14" s="4" customFormat="1" ht="18" customHeight="1" hidden="1">
      <c r="A97" s="14"/>
      <c r="B97" s="14">
        <v>80195</v>
      </c>
      <c r="C97" s="10"/>
      <c r="D97" s="18" t="s">
        <v>34</v>
      </c>
      <c r="E97" s="113">
        <f>E98</f>
        <v>17883</v>
      </c>
      <c r="F97" s="112">
        <f>F98</f>
        <v>0</v>
      </c>
      <c r="G97" s="112">
        <f aca="true" t="shared" si="36" ref="G97:L97">G98</f>
        <v>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46">
        <f>M98</f>
        <v>17883</v>
      </c>
      <c r="N97" s="187"/>
    </row>
    <row r="98" spans="1:14" s="4" customFormat="1" ht="25.5" hidden="1">
      <c r="A98" s="14"/>
      <c r="B98" s="14"/>
      <c r="C98" s="15">
        <v>2030</v>
      </c>
      <c r="D98" s="16" t="s">
        <v>31</v>
      </c>
      <c r="E98" s="106">
        <v>17883</v>
      </c>
      <c r="F98" s="140"/>
      <c r="G98" s="140"/>
      <c r="H98" s="140"/>
      <c r="I98" s="140"/>
      <c r="J98" s="140"/>
      <c r="K98" s="140"/>
      <c r="L98" s="140"/>
      <c r="M98" s="141">
        <f>E98+F98+G98+H98+I98+J98+K98+L98</f>
        <v>17883</v>
      </c>
      <c r="N98" s="188"/>
    </row>
    <row r="99" spans="1:14" s="4" customFormat="1" ht="16.5" customHeight="1">
      <c r="A99" s="5">
        <v>852</v>
      </c>
      <c r="B99" s="5"/>
      <c r="C99" s="5"/>
      <c r="D99" s="6" t="s">
        <v>167</v>
      </c>
      <c r="E99" s="100">
        <f>E104+E106+E110+E100+E115+E113</f>
        <v>1854200</v>
      </c>
      <c r="F99" s="240">
        <f>F104+F106+F110+F100+F115</f>
        <v>-62900</v>
      </c>
      <c r="G99" s="142">
        <f aca="true" t="shared" si="37" ref="G99:L99">G104+G106+G110+G100+G115</f>
        <v>0</v>
      </c>
      <c r="H99" s="142">
        <f t="shared" si="37"/>
        <v>0</v>
      </c>
      <c r="I99" s="228">
        <f t="shared" si="37"/>
        <v>0</v>
      </c>
      <c r="J99" s="142">
        <f t="shared" si="37"/>
        <v>0</v>
      </c>
      <c r="K99" s="142">
        <f t="shared" si="37"/>
        <v>0</v>
      </c>
      <c r="L99" s="142">
        <f t="shared" si="37"/>
        <v>0</v>
      </c>
      <c r="M99" s="100">
        <f>M104+M106+M110+M100+M115+M113</f>
        <v>1791300</v>
      </c>
      <c r="N99" s="186"/>
    </row>
    <row r="100" spans="1:14" s="110" customFormat="1" ht="38.25">
      <c r="A100" s="12"/>
      <c r="B100" s="7">
        <v>85212</v>
      </c>
      <c r="C100" s="7"/>
      <c r="D100" s="8" t="s">
        <v>168</v>
      </c>
      <c r="E100" s="101">
        <f>SUM(E101:E102)</f>
        <v>1724000</v>
      </c>
      <c r="F100" s="241">
        <f>SUM(F101:F102)</f>
        <v>-66100</v>
      </c>
      <c r="G100" s="143">
        <f aca="true" t="shared" si="38" ref="G100:L100">SUM(G101:G102)</f>
        <v>0</v>
      </c>
      <c r="H100" s="143">
        <f t="shared" si="38"/>
        <v>0</v>
      </c>
      <c r="I100" s="143">
        <f t="shared" si="38"/>
        <v>0</v>
      </c>
      <c r="J100" s="143">
        <f>SUM(J101:L103)</f>
        <v>0</v>
      </c>
      <c r="K100" s="143">
        <f t="shared" si="38"/>
        <v>0</v>
      </c>
      <c r="L100" s="143">
        <f t="shared" si="38"/>
        <v>0</v>
      </c>
      <c r="M100" s="144">
        <f>M101+M102+M103</f>
        <v>1657900</v>
      </c>
      <c r="N100" s="189"/>
    </row>
    <row r="101" spans="1:14" s="110" customFormat="1" ht="45">
      <c r="A101" s="12"/>
      <c r="B101" s="7"/>
      <c r="C101" s="9">
        <v>2010</v>
      </c>
      <c r="D101" s="11" t="s">
        <v>26</v>
      </c>
      <c r="E101" s="114">
        <v>1719000</v>
      </c>
      <c r="F101" s="214">
        <v>-66100</v>
      </c>
      <c r="G101" s="13"/>
      <c r="H101" s="13"/>
      <c r="I101" s="13"/>
      <c r="J101" s="13"/>
      <c r="K101" s="13"/>
      <c r="L101" s="13"/>
      <c r="M101" s="141">
        <f aca="true" t="shared" si="39" ref="M101:M109">E101+F101+G101+H101+I101+J101+K101+L101</f>
        <v>1652900</v>
      </c>
      <c r="N101" s="191" t="s">
        <v>261</v>
      </c>
    </row>
    <row r="102" spans="1:14" s="110" customFormat="1" ht="38.25">
      <c r="A102" s="12"/>
      <c r="B102" s="7"/>
      <c r="C102" s="9">
        <v>2360</v>
      </c>
      <c r="D102" s="11" t="s">
        <v>160</v>
      </c>
      <c r="E102" s="114">
        <v>5000</v>
      </c>
      <c r="F102" s="13"/>
      <c r="G102" s="13"/>
      <c r="H102" s="13"/>
      <c r="I102" s="13"/>
      <c r="J102" s="13"/>
      <c r="K102" s="13"/>
      <c r="L102" s="13"/>
      <c r="M102" s="141">
        <f t="shared" si="39"/>
        <v>5000</v>
      </c>
      <c r="N102" s="191"/>
    </row>
    <row r="103" spans="1:14" s="110" customFormat="1" ht="63.75" customHeight="1" hidden="1">
      <c r="A103" s="12"/>
      <c r="B103" s="7"/>
      <c r="C103" s="9">
        <v>6310</v>
      </c>
      <c r="D103" s="11" t="s">
        <v>247</v>
      </c>
      <c r="E103" s="114"/>
      <c r="F103" s="13"/>
      <c r="G103" s="13"/>
      <c r="H103" s="13"/>
      <c r="I103" s="13"/>
      <c r="J103" s="13"/>
      <c r="K103" s="13"/>
      <c r="L103" s="13"/>
      <c r="M103" s="141">
        <f t="shared" si="39"/>
        <v>0</v>
      </c>
      <c r="N103" s="191"/>
    </row>
    <row r="104" spans="1:14" s="110" customFormat="1" ht="38.25">
      <c r="A104" s="12"/>
      <c r="B104" s="7">
        <v>85213</v>
      </c>
      <c r="C104" s="7"/>
      <c r="D104" s="8" t="s">
        <v>169</v>
      </c>
      <c r="E104" s="101">
        <f aca="true" t="shared" si="40" ref="E104:M104">E105</f>
        <v>9000</v>
      </c>
      <c r="F104" s="143">
        <f t="shared" si="40"/>
        <v>200</v>
      </c>
      <c r="G104" s="143">
        <f t="shared" si="40"/>
        <v>0</v>
      </c>
      <c r="H104" s="143">
        <f t="shared" si="40"/>
        <v>0</v>
      </c>
      <c r="I104" s="143">
        <f t="shared" si="40"/>
        <v>0</v>
      </c>
      <c r="J104" s="143">
        <f t="shared" si="40"/>
        <v>0</v>
      </c>
      <c r="K104" s="143">
        <f t="shared" si="40"/>
        <v>0</v>
      </c>
      <c r="L104" s="143">
        <f t="shared" si="40"/>
        <v>0</v>
      </c>
      <c r="M104" s="144">
        <f t="shared" si="40"/>
        <v>9200</v>
      </c>
      <c r="N104" s="189"/>
    </row>
    <row r="105" spans="1:14" s="110" customFormat="1" ht="45">
      <c r="A105" s="12"/>
      <c r="B105" s="12"/>
      <c r="C105" s="9">
        <v>2010</v>
      </c>
      <c r="D105" s="11" t="s">
        <v>26</v>
      </c>
      <c r="E105" s="114">
        <v>9000</v>
      </c>
      <c r="F105" s="13">
        <v>200</v>
      </c>
      <c r="G105" s="13"/>
      <c r="H105" s="13"/>
      <c r="I105" s="13"/>
      <c r="J105" s="13"/>
      <c r="K105" s="13"/>
      <c r="L105" s="13"/>
      <c r="M105" s="141">
        <f t="shared" si="39"/>
        <v>9200</v>
      </c>
      <c r="N105" s="191" t="s">
        <v>262</v>
      </c>
    </row>
    <row r="106" spans="1:14" s="4" customFormat="1" ht="25.5">
      <c r="A106" s="7"/>
      <c r="B106" s="7">
        <v>85214</v>
      </c>
      <c r="C106" s="7"/>
      <c r="D106" s="8" t="s">
        <v>170</v>
      </c>
      <c r="E106" s="113">
        <f>E107+E108</f>
        <v>51400</v>
      </c>
      <c r="F106" s="243">
        <f>F107+F108+F109</f>
        <v>3000</v>
      </c>
      <c r="G106" s="112">
        <f aca="true" t="shared" si="41" ref="G106:L106">G107+G108</f>
        <v>0</v>
      </c>
      <c r="H106" s="112">
        <f t="shared" si="41"/>
        <v>0</v>
      </c>
      <c r="I106" s="216">
        <f t="shared" si="41"/>
        <v>0</v>
      </c>
      <c r="J106" s="112">
        <f t="shared" si="41"/>
        <v>0</v>
      </c>
      <c r="K106" s="112">
        <f t="shared" si="41"/>
        <v>0</v>
      </c>
      <c r="L106" s="112">
        <f t="shared" si="41"/>
        <v>0</v>
      </c>
      <c r="M106" s="144">
        <f>M107+M108+M109</f>
        <v>54400</v>
      </c>
      <c r="N106" s="187"/>
    </row>
    <row r="107" spans="1:14" s="4" customFormat="1" ht="38.25">
      <c r="A107" s="7"/>
      <c r="B107" s="9"/>
      <c r="C107" s="9">
        <v>2010</v>
      </c>
      <c r="D107" s="11" t="s">
        <v>26</v>
      </c>
      <c r="E107" s="106">
        <v>32500</v>
      </c>
      <c r="F107" s="140">
        <v>4100</v>
      </c>
      <c r="G107" s="140"/>
      <c r="H107" s="140"/>
      <c r="I107" s="140"/>
      <c r="J107" s="140"/>
      <c r="K107" s="140"/>
      <c r="L107" s="140"/>
      <c r="M107" s="141">
        <f t="shared" si="39"/>
        <v>36600</v>
      </c>
      <c r="N107" s="442" t="s">
        <v>263</v>
      </c>
    </row>
    <row r="108" spans="1:14" s="4" customFormat="1" ht="25.5">
      <c r="A108" s="7"/>
      <c r="B108" s="9"/>
      <c r="C108" s="15">
        <v>2030</v>
      </c>
      <c r="D108" s="16" t="s">
        <v>31</v>
      </c>
      <c r="E108" s="106">
        <v>18900</v>
      </c>
      <c r="F108" s="139">
        <v>-6100</v>
      </c>
      <c r="G108" s="140"/>
      <c r="H108" s="140"/>
      <c r="I108" s="139"/>
      <c r="J108" s="140"/>
      <c r="K108" s="140"/>
      <c r="L108" s="140"/>
      <c r="M108" s="141">
        <f t="shared" si="39"/>
        <v>12800</v>
      </c>
      <c r="N108" s="443"/>
    </row>
    <row r="109" spans="1:14" s="4" customFormat="1" ht="22.5">
      <c r="A109" s="7"/>
      <c r="B109" s="9"/>
      <c r="C109" s="15" t="s">
        <v>93</v>
      </c>
      <c r="D109" s="16" t="s">
        <v>94</v>
      </c>
      <c r="E109" s="106"/>
      <c r="F109" s="245">
        <v>5000</v>
      </c>
      <c r="G109" s="140"/>
      <c r="H109" s="140"/>
      <c r="I109" s="139"/>
      <c r="J109" s="140"/>
      <c r="K109" s="140"/>
      <c r="L109" s="140"/>
      <c r="M109" s="141">
        <f t="shared" si="39"/>
        <v>5000</v>
      </c>
      <c r="N109" s="188" t="s">
        <v>264</v>
      </c>
    </row>
    <row r="110" spans="1:14" s="4" customFormat="1" ht="18" customHeight="1">
      <c r="A110" s="7"/>
      <c r="B110" s="7">
        <v>85219</v>
      </c>
      <c r="C110" s="7"/>
      <c r="D110" s="8" t="s">
        <v>171</v>
      </c>
      <c r="E110" s="113">
        <f>E111+E112</f>
        <v>40800</v>
      </c>
      <c r="F110" s="112">
        <f>F111+F112</f>
        <v>0</v>
      </c>
      <c r="G110" s="112">
        <f aca="true" t="shared" si="42" ref="G110:L110">G111+G112</f>
        <v>0</v>
      </c>
      <c r="H110" s="112">
        <f t="shared" si="42"/>
        <v>0</v>
      </c>
      <c r="I110" s="112">
        <f t="shared" si="42"/>
        <v>0</v>
      </c>
      <c r="J110" s="112">
        <f t="shared" si="42"/>
        <v>0</v>
      </c>
      <c r="K110" s="112">
        <f t="shared" si="42"/>
        <v>0</v>
      </c>
      <c r="L110" s="112">
        <f t="shared" si="42"/>
        <v>0</v>
      </c>
      <c r="M110" s="144">
        <f>M111+M112</f>
        <v>40800</v>
      </c>
      <c r="N110" s="187"/>
    </row>
    <row r="111" spans="1:14" s="4" customFormat="1" ht="25.5">
      <c r="A111" s="7"/>
      <c r="B111" s="9"/>
      <c r="C111" s="15">
        <v>2030</v>
      </c>
      <c r="D111" s="16" t="s">
        <v>31</v>
      </c>
      <c r="E111" s="106">
        <v>39300</v>
      </c>
      <c r="F111" s="140"/>
      <c r="G111" s="140"/>
      <c r="H111" s="140"/>
      <c r="I111" s="140"/>
      <c r="J111" s="140"/>
      <c r="K111" s="140"/>
      <c r="L111" s="140"/>
      <c r="M111" s="141">
        <f>E111+F111+G111+H111+I111+J111+K111+L111</f>
        <v>39300</v>
      </c>
      <c r="N111" s="188"/>
    </row>
    <row r="112" spans="1:14" s="119" customFormat="1" ht="12.75">
      <c r="A112" s="7"/>
      <c r="B112" s="7"/>
      <c r="C112" s="10" t="s">
        <v>23</v>
      </c>
      <c r="D112" s="11" t="s">
        <v>24</v>
      </c>
      <c r="E112" s="106">
        <v>1500</v>
      </c>
      <c r="F112" s="140"/>
      <c r="G112" s="140"/>
      <c r="H112" s="140"/>
      <c r="I112" s="140"/>
      <c r="J112" s="140"/>
      <c r="K112" s="140"/>
      <c r="L112" s="140"/>
      <c r="M112" s="141">
        <f>E112+F112+G112+H112+I112+J112+K112+L112</f>
        <v>1500</v>
      </c>
      <c r="N112" s="188"/>
    </row>
    <row r="113" spans="1:14" s="119" customFormat="1" ht="12.75">
      <c r="A113" s="7"/>
      <c r="B113" s="14">
        <v>85228</v>
      </c>
      <c r="C113" s="14"/>
      <c r="D113" s="17" t="s">
        <v>178</v>
      </c>
      <c r="E113" s="208">
        <f>E114</f>
        <v>5000</v>
      </c>
      <c r="F113" s="140">
        <f>F114</f>
        <v>0</v>
      </c>
      <c r="G113" s="140"/>
      <c r="H113" s="140"/>
      <c r="I113" s="140"/>
      <c r="J113" s="140"/>
      <c r="K113" s="140"/>
      <c r="L113" s="140"/>
      <c r="M113" s="146">
        <f>M114</f>
        <v>5000</v>
      </c>
      <c r="N113" s="188"/>
    </row>
    <row r="114" spans="1:14" s="119" customFormat="1" ht="12.75">
      <c r="A114" s="7"/>
      <c r="B114" s="7"/>
      <c r="C114" s="10" t="s">
        <v>138</v>
      </c>
      <c r="D114" s="11" t="s">
        <v>139</v>
      </c>
      <c r="E114" s="106">
        <v>5000</v>
      </c>
      <c r="F114" s="140"/>
      <c r="G114" s="140"/>
      <c r="H114" s="140"/>
      <c r="I114" s="140"/>
      <c r="J114" s="140"/>
      <c r="K114" s="140"/>
      <c r="L114" s="140"/>
      <c r="M114" s="141">
        <f>E114+F114+G114+H114+I114+J114+K114+L114</f>
        <v>5000</v>
      </c>
      <c r="N114" s="188"/>
    </row>
    <row r="115" spans="1:14" s="120" customFormat="1" ht="16.5" customHeight="1">
      <c r="A115" s="109"/>
      <c r="B115" s="109">
        <v>85295</v>
      </c>
      <c r="C115" s="109"/>
      <c r="D115" s="18" t="s">
        <v>34</v>
      </c>
      <c r="E115" s="113">
        <f aca="true" t="shared" si="43" ref="E115:M115">E116</f>
        <v>24000</v>
      </c>
      <c r="F115" s="112">
        <f t="shared" si="43"/>
        <v>0</v>
      </c>
      <c r="G115" s="112">
        <f t="shared" si="43"/>
        <v>0</v>
      </c>
      <c r="H115" s="112">
        <f t="shared" si="43"/>
        <v>0</v>
      </c>
      <c r="I115" s="112">
        <f t="shared" si="43"/>
        <v>0</v>
      </c>
      <c r="J115" s="112">
        <f t="shared" si="43"/>
        <v>0</v>
      </c>
      <c r="K115" s="112">
        <f t="shared" si="43"/>
        <v>0</v>
      </c>
      <c r="L115" s="112">
        <f t="shared" si="43"/>
        <v>0</v>
      </c>
      <c r="M115" s="146">
        <f t="shared" si="43"/>
        <v>24000</v>
      </c>
      <c r="N115" s="187"/>
    </row>
    <row r="116" spans="1:14" s="119" customFormat="1" ht="25.5">
      <c r="A116" s="7"/>
      <c r="B116" s="7"/>
      <c r="C116" s="15">
        <v>2030</v>
      </c>
      <c r="D116" s="16" t="s">
        <v>31</v>
      </c>
      <c r="E116" s="106">
        <v>24000</v>
      </c>
      <c r="F116" s="140"/>
      <c r="G116" s="140"/>
      <c r="H116" s="140"/>
      <c r="I116" s="140"/>
      <c r="J116" s="140"/>
      <c r="K116" s="140"/>
      <c r="L116" s="140"/>
      <c r="M116" s="141">
        <f>E116+F116+G116+H116+I116+J116+K116+L116</f>
        <v>24000</v>
      </c>
      <c r="N116" s="188"/>
    </row>
    <row r="117" spans="1:14" s="4" customFormat="1" ht="12.75" customHeight="1">
      <c r="A117" s="5">
        <v>854</v>
      </c>
      <c r="B117" s="5"/>
      <c r="C117" s="5"/>
      <c r="D117" s="6" t="s">
        <v>180</v>
      </c>
      <c r="E117" s="100">
        <f>E118</f>
        <v>0</v>
      </c>
      <c r="F117" s="142">
        <f>F118</f>
        <v>9866</v>
      </c>
      <c r="G117" s="142">
        <f aca="true" t="shared" si="44" ref="G117:L117">G118</f>
        <v>0</v>
      </c>
      <c r="H117" s="142">
        <f t="shared" si="44"/>
        <v>0</v>
      </c>
      <c r="I117" s="142">
        <f t="shared" si="44"/>
        <v>0</v>
      </c>
      <c r="J117" s="142">
        <f t="shared" si="44"/>
        <v>0</v>
      </c>
      <c r="K117" s="142">
        <f t="shared" si="44"/>
        <v>0</v>
      </c>
      <c r="L117" s="142">
        <f t="shared" si="44"/>
        <v>0</v>
      </c>
      <c r="M117" s="100">
        <f>M118</f>
        <v>9866</v>
      </c>
      <c r="N117" s="186"/>
    </row>
    <row r="118" spans="1:14" s="119" customFormat="1" ht="36.75" customHeight="1">
      <c r="A118" s="7"/>
      <c r="B118" s="7">
        <v>85415</v>
      </c>
      <c r="C118" s="15"/>
      <c r="D118" s="192" t="s">
        <v>181</v>
      </c>
      <c r="E118" s="113">
        <f aca="true" t="shared" si="45" ref="E118:L118">E119</f>
        <v>0</v>
      </c>
      <c r="F118" s="112">
        <f t="shared" si="45"/>
        <v>9866</v>
      </c>
      <c r="G118" s="112">
        <f t="shared" si="45"/>
        <v>0</v>
      </c>
      <c r="H118" s="112">
        <f t="shared" si="45"/>
        <v>0</v>
      </c>
      <c r="I118" s="112">
        <f t="shared" si="45"/>
        <v>0</v>
      </c>
      <c r="J118" s="112">
        <f t="shared" si="45"/>
        <v>0</v>
      </c>
      <c r="K118" s="112">
        <f t="shared" si="45"/>
        <v>0</v>
      </c>
      <c r="L118" s="112">
        <f t="shared" si="45"/>
        <v>0</v>
      </c>
      <c r="M118" s="146">
        <f>M119</f>
        <v>9866</v>
      </c>
      <c r="N118" s="444" t="s">
        <v>265</v>
      </c>
    </row>
    <row r="119" spans="1:14" s="119" customFormat="1" ht="29.25" customHeight="1">
      <c r="A119" s="7"/>
      <c r="B119" s="7"/>
      <c r="C119" s="15">
        <v>2030</v>
      </c>
      <c r="D119" s="16" t="s">
        <v>31</v>
      </c>
      <c r="E119" s="246"/>
      <c r="F119" s="215">
        <v>9866</v>
      </c>
      <c r="G119" s="147"/>
      <c r="H119" s="215"/>
      <c r="I119" s="147"/>
      <c r="J119" s="147"/>
      <c r="K119" s="147"/>
      <c r="L119" s="147"/>
      <c r="M119" s="141">
        <f>E119+F119+G119+H119+I119+J119+K119+L119</f>
        <v>9866</v>
      </c>
      <c r="N119" s="445"/>
    </row>
    <row r="120" spans="1:14" s="4" customFormat="1" ht="39" customHeight="1" hidden="1">
      <c r="A120" s="5">
        <v>900</v>
      </c>
      <c r="B120" s="5"/>
      <c r="C120" s="5"/>
      <c r="D120" s="6" t="s">
        <v>35</v>
      </c>
      <c r="E120" s="100">
        <f>E121+E123</f>
        <v>4200</v>
      </c>
      <c r="F120" s="142">
        <f>F121+F123</f>
        <v>0</v>
      </c>
      <c r="G120" s="142">
        <f aca="true" t="shared" si="46" ref="G120:L120">G121+G123</f>
        <v>0</v>
      </c>
      <c r="H120" s="142">
        <f t="shared" si="46"/>
        <v>0</v>
      </c>
      <c r="I120" s="142">
        <f t="shared" si="46"/>
        <v>0</v>
      </c>
      <c r="J120" s="142">
        <f t="shared" si="46"/>
        <v>0</v>
      </c>
      <c r="K120" s="142">
        <f t="shared" si="46"/>
        <v>0</v>
      </c>
      <c r="L120" s="142">
        <f t="shared" si="46"/>
        <v>0</v>
      </c>
      <c r="M120" s="100">
        <f>M121+M123</f>
        <v>4200</v>
      </c>
      <c r="N120" s="186"/>
    </row>
    <row r="121" spans="1:14" s="4" customFormat="1" ht="12.75" hidden="1">
      <c r="A121" s="7"/>
      <c r="B121" s="7">
        <v>90011</v>
      </c>
      <c r="C121" s="7"/>
      <c r="D121" s="8" t="s">
        <v>2</v>
      </c>
      <c r="E121" s="113">
        <f aca="true" t="shared" si="47" ref="E121:M121">SUM(E122:E122)</f>
        <v>3000</v>
      </c>
      <c r="F121" s="112">
        <f t="shared" si="47"/>
        <v>0</v>
      </c>
      <c r="G121" s="112">
        <f t="shared" si="47"/>
        <v>0</v>
      </c>
      <c r="H121" s="112">
        <f t="shared" si="47"/>
        <v>0</v>
      </c>
      <c r="I121" s="112">
        <f t="shared" si="47"/>
        <v>0</v>
      </c>
      <c r="J121" s="112">
        <f t="shared" si="47"/>
        <v>0</v>
      </c>
      <c r="K121" s="112">
        <f t="shared" si="47"/>
        <v>0</v>
      </c>
      <c r="L121" s="112">
        <f t="shared" si="47"/>
        <v>0</v>
      </c>
      <c r="M121" s="144">
        <f t="shared" si="47"/>
        <v>3000</v>
      </c>
      <c r="N121" s="187"/>
    </row>
    <row r="122" spans="1:14" s="4" customFormat="1" ht="12.75" hidden="1">
      <c r="A122" s="9"/>
      <c r="B122" s="9"/>
      <c r="C122" s="10" t="s">
        <v>3</v>
      </c>
      <c r="D122" s="11" t="s">
        <v>4</v>
      </c>
      <c r="E122" s="106">
        <v>3000</v>
      </c>
      <c r="F122" s="140"/>
      <c r="G122" s="140"/>
      <c r="H122" s="140"/>
      <c r="I122" s="140"/>
      <c r="J122" s="140"/>
      <c r="K122" s="140"/>
      <c r="L122" s="140"/>
      <c r="M122" s="141">
        <f>E122+F122+G122+H122+I122+J122+K122+L122</f>
        <v>3000</v>
      </c>
      <c r="N122" s="188"/>
    </row>
    <row r="123" spans="1:14" s="4" customFormat="1" ht="12.75" hidden="1">
      <c r="A123" s="9"/>
      <c r="B123" s="7">
        <v>90095</v>
      </c>
      <c r="C123" s="7"/>
      <c r="D123" s="8" t="s">
        <v>34</v>
      </c>
      <c r="E123" s="113">
        <f>E124</f>
        <v>1200</v>
      </c>
      <c r="F123" s="112">
        <f>F124</f>
        <v>0</v>
      </c>
      <c r="G123" s="112">
        <f aca="true" t="shared" si="48" ref="G123:L123">G124</f>
        <v>0</v>
      </c>
      <c r="H123" s="112">
        <f t="shared" si="48"/>
        <v>0</v>
      </c>
      <c r="I123" s="112">
        <f t="shared" si="48"/>
        <v>0</v>
      </c>
      <c r="J123" s="112">
        <f t="shared" si="48"/>
        <v>0</v>
      </c>
      <c r="K123" s="112">
        <f t="shared" si="48"/>
        <v>0</v>
      </c>
      <c r="L123" s="112">
        <f t="shared" si="48"/>
        <v>0</v>
      </c>
      <c r="M123" s="146">
        <f>M124</f>
        <v>1200</v>
      </c>
      <c r="N123" s="187"/>
    </row>
    <row r="124" spans="1:14" s="4" customFormat="1" ht="12.75" hidden="1">
      <c r="A124" s="9"/>
      <c r="B124" s="14"/>
      <c r="C124" s="10" t="s">
        <v>138</v>
      </c>
      <c r="D124" s="11" t="s">
        <v>139</v>
      </c>
      <c r="E124" s="106">
        <v>1200</v>
      </c>
      <c r="F124" s="140"/>
      <c r="G124" s="140"/>
      <c r="H124" s="140"/>
      <c r="I124" s="140"/>
      <c r="J124" s="140"/>
      <c r="K124" s="140"/>
      <c r="L124" s="140"/>
      <c r="M124" s="141">
        <f>E124+F124+G124+H124+I124+J124+K124+L124</f>
        <v>1200</v>
      </c>
      <c r="N124" s="188"/>
    </row>
    <row r="125" spans="1:14" s="4" customFormat="1" ht="12.75" customHeight="1">
      <c r="A125" s="206">
        <v>926</v>
      </c>
      <c r="B125" s="184"/>
      <c r="C125" s="184"/>
      <c r="D125" s="185" t="s">
        <v>13</v>
      </c>
      <c r="E125" s="145">
        <f aca="true" t="shared" si="49" ref="E125:M126">E126</f>
        <v>0</v>
      </c>
      <c r="F125" s="207">
        <f t="shared" si="49"/>
        <v>333000</v>
      </c>
      <c r="G125" s="207">
        <f t="shared" si="49"/>
        <v>0</v>
      </c>
      <c r="H125" s="207">
        <f t="shared" si="49"/>
        <v>0</v>
      </c>
      <c r="I125" s="207">
        <f t="shared" si="49"/>
        <v>0</v>
      </c>
      <c r="J125" s="207">
        <f t="shared" si="49"/>
        <v>0</v>
      </c>
      <c r="K125" s="207">
        <f t="shared" si="49"/>
        <v>0</v>
      </c>
      <c r="L125" s="207">
        <f t="shared" si="49"/>
        <v>0</v>
      </c>
      <c r="M125" s="145">
        <f t="shared" si="49"/>
        <v>333000</v>
      </c>
      <c r="N125" s="186"/>
    </row>
    <row r="126" spans="1:14" s="4" customFormat="1" ht="25.5" customHeight="1">
      <c r="A126" s="24"/>
      <c r="B126" s="14">
        <v>92605</v>
      </c>
      <c r="C126" s="14"/>
      <c r="D126" s="17" t="s">
        <v>14</v>
      </c>
      <c r="E126" s="208">
        <f t="shared" si="49"/>
        <v>0</v>
      </c>
      <c r="F126" s="209">
        <f t="shared" si="49"/>
        <v>333000</v>
      </c>
      <c r="G126" s="209">
        <f t="shared" si="49"/>
        <v>0</v>
      </c>
      <c r="H126" s="209">
        <f t="shared" si="49"/>
        <v>0</v>
      </c>
      <c r="I126" s="209">
        <f t="shared" si="49"/>
        <v>0</v>
      </c>
      <c r="J126" s="209">
        <f t="shared" si="49"/>
        <v>0</v>
      </c>
      <c r="K126" s="209">
        <f t="shared" si="49"/>
        <v>0</v>
      </c>
      <c r="L126" s="209">
        <f t="shared" si="49"/>
        <v>0</v>
      </c>
      <c r="M126" s="146">
        <f t="shared" si="49"/>
        <v>333000</v>
      </c>
      <c r="N126" s="187"/>
    </row>
    <row r="127" spans="1:14" s="4" customFormat="1" ht="67.5">
      <c r="A127" s="24"/>
      <c r="B127" s="14"/>
      <c r="C127" s="111">
        <v>2710</v>
      </c>
      <c r="D127" s="132" t="s">
        <v>239</v>
      </c>
      <c r="E127" s="106"/>
      <c r="F127" s="140">
        <v>333000</v>
      </c>
      <c r="G127" s="140"/>
      <c r="H127" s="140"/>
      <c r="I127" s="140"/>
      <c r="J127" s="140"/>
      <c r="K127" s="140"/>
      <c r="L127" s="140"/>
      <c r="M127" s="141">
        <f>E127+F127+G127+H127+I127+J127+K127+L127</f>
        <v>333000</v>
      </c>
      <c r="N127" s="188" t="s">
        <v>266</v>
      </c>
    </row>
    <row r="128" spans="1:14" s="4" customFormat="1" ht="12.75" customHeight="1" hidden="1">
      <c r="A128" s="193">
        <v>921</v>
      </c>
      <c r="B128" s="5"/>
      <c r="C128" s="5"/>
      <c r="D128" s="6" t="s">
        <v>182</v>
      </c>
      <c r="E128" s="100">
        <f aca="true" t="shared" si="50" ref="E128:L129">E129</f>
        <v>0</v>
      </c>
      <c r="F128" s="142">
        <f t="shared" si="50"/>
        <v>0</v>
      </c>
      <c r="G128" s="142">
        <f t="shared" si="50"/>
        <v>0</v>
      </c>
      <c r="H128" s="142">
        <f t="shared" si="50"/>
        <v>0</v>
      </c>
      <c r="I128" s="142">
        <f t="shared" si="50"/>
        <v>0</v>
      </c>
      <c r="J128" s="142">
        <f t="shared" si="50"/>
        <v>0</v>
      </c>
      <c r="K128" s="142">
        <f t="shared" si="50"/>
        <v>0</v>
      </c>
      <c r="L128" s="142">
        <f t="shared" si="50"/>
        <v>0</v>
      </c>
      <c r="M128" s="145">
        <f>M129</f>
        <v>0</v>
      </c>
      <c r="N128" s="186"/>
    </row>
    <row r="129" spans="1:14" s="4" customFormat="1" ht="12.75" customHeight="1" hidden="1">
      <c r="A129" s="9"/>
      <c r="B129" s="7">
        <v>92116</v>
      </c>
      <c r="C129" s="7"/>
      <c r="D129" s="8" t="s">
        <v>183</v>
      </c>
      <c r="E129" s="113">
        <f t="shared" si="50"/>
        <v>0</v>
      </c>
      <c r="F129" s="112">
        <f t="shared" si="50"/>
        <v>0</v>
      </c>
      <c r="G129" s="112">
        <f t="shared" si="50"/>
        <v>0</v>
      </c>
      <c r="H129" s="112">
        <f t="shared" si="50"/>
        <v>0</v>
      </c>
      <c r="I129" s="112">
        <f t="shared" si="50"/>
        <v>0</v>
      </c>
      <c r="J129" s="112">
        <f t="shared" si="50"/>
        <v>0</v>
      </c>
      <c r="K129" s="112">
        <f t="shared" si="50"/>
        <v>0</v>
      </c>
      <c r="L129" s="112">
        <f t="shared" si="50"/>
        <v>0</v>
      </c>
      <c r="M129" s="146">
        <f>M130</f>
        <v>0</v>
      </c>
      <c r="N129" s="187"/>
    </row>
    <row r="130" spans="1:14" s="4" customFormat="1" ht="38.25" customHeight="1" hidden="1">
      <c r="A130" s="9"/>
      <c r="B130" s="7"/>
      <c r="C130" s="15">
        <v>2020</v>
      </c>
      <c r="D130" s="16" t="s">
        <v>203</v>
      </c>
      <c r="E130" s="106"/>
      <c r="F130" s="140"/>
      <c r="G130" s="140"/>
      <c r="H130" s="140"/>
      <c r="I130" s="140"/>
      <c r="J130" s="140"/>
      <c r="K130" s="140"/>
      <c r="L130" s="140"/>
      <c r="M130" s="141">
        <f>E130+F130+G130+H130+I130+J130+K130</f>
        <v>0</v>
      </c>
      <c r="N130" s="188"/>
    </row>
    <row r="131" spans="1:14" s="105" customFormat="1" ht="15.75">
      <c r="A131" s="121"/>
      <c r="B131" s="122"/>
      <c r="C131" s="122"/>
      <c r="D131" s="121" t="s">
        <v>79</v>
      </c>
      <c r="E131" s="247"/>
      <c r="F131" s="248">
        <f aca="true" t="shared" si="51" ref="F131:L131">F9+F15+F23+F31+F38+F41+F71+F81+F99+F120+F128+F117+F5+F125</f>
        <v>318399</v>
      </c>
      <c r="G131" s="148">
        <f t="shared" si="51"/>
        <v>0</v>
      </c>
      <c r="H131" s="148">
        <f t="shared" si="51"/>
        <v>0</v>
      </c>
      <c r="I131" s="148">
        <f t="shared" si="51"/>
        <v>0</v>
      </c>
      <c r="J131" s="148">
        <f t="shared" si="51"/>
        <v>0</v>
      </c>
      <c r="K131" s="148">
        <f t="shared" si="51"/>
        <v>0</v>
      </c>
      <c r="L131" s="148">
        <f t="shared" si="51"/>
        <v>0</v>
      </c>
      <c r="M131" s="247"/>
      <c r="N131" s="186"/>
    </row>
    <row r="132" spans="5:14" s="4" customFormat="1" ht="12.75">
      <c r="E132" s="115"/>
      <c r="F132" s="149"/>
      <c r="G132" s="149"/>
      <c r="H132" s="149"/>
      <c r="I132" s="149"/>
      <c r="J132" s="149"/>
      <c r="K132" s="149"/>
      <c r="L132" s="149"/>
      <c r="M132" s="110"/>
      <c r="N132" s="194"/>
    </row>
    <row r="133" spans="5:14" s="4" customFormat="1" ht="12.75">
      <c r="E133" s="116"/>
      <c r="F133" s="116"/>
      <c r="G133" s="116"/>
      <c r="H133" s="116"/>
      <c r="I133" s="116"/>
      <c r="J133" s="116"/>
      <c r="K133" s="116"/>
      <c r="L133" s="116"/>
      <c r="M133" s="116"/>
      <c r="N133" s="195"/>
    </row>
    <row r="134" spans="4:14" s="4" customFormat="1" ht="12.75">
      <c r="D134" s="249"/>
      <c r="E134" s="123"/>
      <c r="F134" s="123"/>
      <c r="G134" s="123"/>
      <c r="H134" s="123"/>
      <c r="I134" s="123"/>
      <c r="J134" s="123"/>
      <c r="K134" s="123"/>
      <c r="L134" s="123"/>
      <c r="M134" s="123"/>
      <c r="N134" s="196"/>
    </row>
    <row r="135" spans="4:14" s="4" customFormat="1" ht="12.75">
      <c r="D135" s="119"/>
      <c r="E135" s="116"/>
      <c r="F135" s="150"/>
      <c r="G135" s="150"/>
      <c r="H135" s="150"/>
      <c r="I135" s="150"/>
      <c r="J135" s="150"/>
      <c r="K135" s="150"/>
      <c r="L135" s="150"/>
      <c r="M135" s="116"/>
      <c r="N135" s="195"/>
    </row>
    <row r="136" spans="4:14" s="4" customFormat="1" ht="12.75">
      <c r="D136" s="119"/>
      <c r="E136" s="116"/>
      <c r="F136" s="150"/>
      <c r="G136" s="150"/>
      <c r="H136" s="150"/>
      <c r="I136" s="150"/>
      <c r="J136" s="150"/>
      <c r="K136" s="150"/>
      <c r="L136" s="150"/>
      <c r="M136" s="151"/>
      <c r="N136" s="195"/>
    </row>
    <row r="137" spans="5:14" ht="12.75">
      <c r="E137" s="124"/>
      <c r="F137" s="152"/>
      <c r="G137" s="152"/>
      <c r="H137" s="152"/>
      <c r="I137" s="152"/>
      <c r="J137" s="152"/>
      <c r="K137" s="152"/>
      <c r="L137" s="152"/>
      <c r="M137" s="153"/>
      <c r="N137" s="197"/>
    </row>
    <row r="138" ht="12.75">
      <c r="M138" s="2"/>
    </row>
    <row r="139" spans="5:14" ht="12.75">
      <c r="E139" s="124"/>
      <c r="F139" s="152"/>
      <c r="G139" s="152"/>
      <c r="H139" s="152"/>
      <c r="I139" s="152"/>
      <c r="J139" s="152"/>
      <c r="K139" s="152"/>
      <c r="L139" s="152"/>
      <c r="M139" s="2"/>
      <c r="N139" s="197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</sheetData>
  <sheetProtection/>
  <mergeCells count="4">
    <mergeCell ref="N46:N48"/>
    <mergeCell ref="N54:N56"/>
    <mergeCell ref="N107:N108"/>
    <mergeCell ref="N118:N119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2"/>
  <sheetViews>
    <sheetView zoomScale="150" zoomScaleNormal="150" zoomScalePageLayoutView="0" workbookViewId="0" topLeftCell="A1">
      <selection activeCell="B1" sqref="B1:P382"/>
    </sheetView>
  </sheetViews>
  <sheetFormatPr defaultColWidth="9.140625" defaultRowHeight="28.5" customHeight="1"/>
  <cols>
    <col min="1" max="1" width="2.140625" style="46" customWidth="1"/>
    <col min="2" max="2" width="3.8515625" style="46" customWidth="1"/>
    <col min="3" max="3" width="7.140625" style="46" customWidth="1"/>
    <col min="4" max="4" width="5.140625" style="46" customWidth="1"/>
    <col min="5" max="5" width="33.00390625" style="46" customWidth="1"/>
    <col min="6" max="6" width="16.7109375" style="46" customWidth="1"/>
    <col min="7" max="7" width="15.57421875" style="98" customWidth="1"/>
    <col min="8" max="8" width="12.00390625" style="98" hidden="1" customWidth="1"/>
    <col min="9" max="9" width="13.00390625" style="98" hidden="1" customWidth="1"/>
    <col min="10" max="10" width="12.421875" style="98" hidden="1" customWidth="1"/>
    <col min="11" max="11" width="10.421875" style="98" hidden="1" customWidth="1"/>
    <col min="12" max="12" width="13.00390625" style="46" hidden="1" customWidth="1"/>
    <col min="13" max="13" width="15.140625" style="98" hidden="1" customWidth="1"/>
    <col min="14" max="14" width="12.140625" style="98" hidden="1" customWidth="1"/>
    <col min="15" max="15" width="17.140625" style="167" customWidth="1"/>
    <col min="16" max="16" width="46.8515625" style="203" customWidth="1"/>
    <col min="17" max="16384" width="9.140625" style="46" customWidth="1"/>
  </cols>
  <sheetData>
    <row r="1" spans="2:16" ht="21">
      <c r="B1" s="43" t="s">
        <v>267</v>
      </c>
      <c r="C1" s="44"/>
      <c r="D1" s="45"/>
      <c r="F1" s="47"/>
      <c r="G1" s="48"/>
      <c r="H1" s="48"/>
      <c r="I1" s="48"/>
      <c r="J1" s="48"/>
      <c r="K1" s="48"/>
      <c r="L1" s="47"/>
      <c r="M1" s="48"/>
      <c r="N1" s="48"/>
      <c r="O1" s="155"/>
      <c r="P1" s="232" t="s">
        <v>268</v>
      </c>
    </row>
    <row r="2" spans="2:16" ht="13.5" thickBot="1">
      <c r="B2" s="43"/>
      <c r="C2" s="44"/>
      <c r="D2" s="45"/>
      <c r="F2" s="47"/>
      <c r="G2" s="48"/>
      <c r="H2" s="48"/>
      <c r="I2" s="48"/>
      <c r="J2" s="48"/>
      <c r="K2" s="48"/>
      <c r="L2" s="47"/>
      <c r="M2" s="48"/>
      <c r="N2" s="48"/>
      <c r="O2" s="155"/>
      <c r="P2" s="250"/>
    </row>
    <row r="3" spans="2:16" s="49" customFormat="1" ht="48" customHeight="1" thickBot="1">
      <c r="B3" s="156" t="s">
        <v>15</v>
      </c>
      <c r="C3" s="157" t="s">
        <v>36</v>
      </c>
      <c r="D3" s="157" t="s">
        <v>17</v>
      </c>
      <c r="E3" s="157" t="s">
        <v>18</v>
      </c>
      <c r="F3" s="157" t="s">
        <v>269</v>
      </c>
      <c r="G3" s="159" t="s">
        <v>19</v>
      </c>
      <c r="H3" s="159"/>
      <c r="I3" s="159"/>
      <c r="J3" s="159"/>
      <c r="K3" s="159" t="s">
        <v>8</v>
      </c>
      <c r="L3" s="158"/>
      <c r="M3" s="159"/>
      <c r="N3" s="159" t="s">
        <v>8</v>
      </c>
      <c r="O3" s="160" t="s">
        <v>9</v>
      </c>
      <c r="P3" s="170" t="s">
        <v>20</v>
      </c>
    </row>
    <row r="4" spans="2:16" ht="15.75" customHeight="1">
      <c r="B4" s="125"/>
      <c r="C4" s="126"/>
      <c r="D4" s="126"/>
      <c r="E4" s="126"/>
      <c r="F4" s="126"/>
      <c r="G4" s="161"/>
      <c r="H4" s="161"/>
      <c r="I4" s="161"/>
      <c r="J4" s="161"/>
      <c r="K4" s="161"/>
      <c r="L4" s="161"/>
      <c r="M4" s="161"/>
      <c r="N4" s="161"/>
      <c r="O4" s="126"/>
      <c r="P4" s="217"/>
    </row>
    <row r="5" spans="2:16" ht="12.75">
      <c r="B5" s="127" t="s">
        <v>37</v>
      </c>
      <c r="C5" s="22"/>
      <c r="D5" s="22"/>
      <c r="E5" s="23" t="s">
        <v>38</v>
      </c>
      <c r="F5" s="55">
        <f>F6+F10+F13+F15+F17</f>
        <v>687473</v>
      </c>
      <c r="G5" s="251">
        <f>G6+G10+G13+G15+G17</f>
        <v>-97000</v>
      </c>
      <c r="H5" s="108">
        <f aca="true" t="shared" si="0" ref="H5:N5">H6+H10+H13+H15+H17</f>
        <v>0</v>
      </c>
      <c r="I5" s="108">
        <f t="shared" si="0"/>
        <v>0</v>
      </c>
      <c r="J5" s="108">
        <f t="shared" si="0"/>
        <v>0</v>
      </c>
      <c r="K5" s="108">
        <f t="shared" si="0"/>
        <v>0</v>
      </c>
      <c r="L5" s="108">
        <f t="shared" si="0"/>
        <v>0</v>
      </c>
      <c r="M5" s="108">
        <f t="shared" si="0"/>
        <v>0</v>
      </c>
      <c r="N5" s="108">
        <f t="shared" si="0"/>
        <v>0</v>
      </c>
      <c r="O5" s="55">
        <f>O6+O10+O13+O15+O17</f>
        <v>590473</v>
      </c>
      <c r="P5" s="218"/>
    </row>
    <row r="6" spans="2:16" s="49" customFormat="1" ht="12.75">
      <c r="B6" s="24"/>
      <c r="C6" s="25" t="s">
        <v>184</v>
      </c>
      <c r="D6" s="14"/>
      <c r="E6" s="17" t="s">
        <v>185</v>
      </c>
      <c r="F6" s="57">
        <f>SUM(F7:F9)</f>
        <v>90000</v>
      </c>
      <c r="G6" s="252">
        <f>SUM(G7:G9)</f>
        <v>-30000</v>
      </c>
      <c r="H6" s="58">
        <f aca="true" t="shared" si="1" ref="H6:N6">SUM(H7:H9)</f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58">
        <f t="shared" si="1"/>
        <v>0</v>
      </c>
      <c r="N6" s="58">
        <f t="shared" si="1"/>
        <v>0</v>
      </c>
      <c r="O6" s="162">
        <f>SUM(O7:O9)</f>
        <v>60000</v>
      </c>
      <c r="P6" s="219"/>
    </row>
    <row r="7" spans="2:16" s="49" customFormat="1" ht="12.75">
      <c r="B7" s="24"/>
      <c r="C7" s="26"/>
      <c r="D7" s="27">
        <v>4210</v>
      </c>
      <c r="E7" s="28" t="s">
        <v>39</v>
      </c>
      <c r="F7" s="42">
        <v>5000</v>
      </c>
      <c r="G7" s="82"/>
      <c r="H7" s="82"/>
      <c r="I7" s="82"/>
      <c r="J7" s="82"/>
      <c r="K7" s="82"/>
      <c r="L7" s="82"/>
      <c r="M7" s="82"/>
      <c r="N7" s="82"/>
      <c r="O7" s="128">
        <f>F7+G7+H7+I7+J7+K7+L7+M7+N7</f>
        <v>5000</v>
      </c>
      <c r="P7" s="199"/>
    </row>
    <row r="8" spans="2:16" s="49" customFormat="1" ht="12.75">
      <c r="B8" s="24"/>
      <c r="C8" s="26"/>
      <c r="D8" s="27">
        <v>4270</v>
      </c>
      <c r="E8" s="28" t="s">
        <v>40</v>
      </c>
      <c r="F8" s="42">
        <v>80000</v>
      </c>
      <c r="G8" s="230">
        <v>-30000</v>
      </c>
      <c r="H8" s="82"/>
      <c r="I8" s="82"/>
      <c r="J8" s="82"/>
      <c r="K8" s="82"/>
      <c r="L8" s="82"/>
      <c r="M8" s="82"/>
      <c r="N8" s="82"/>
      <c r="O8" s="128">
        <f>F8+G8+H8+I8+J8+K8+L8+M8+N8</f>
        <v>50000</v>
      </c>
      <c r="P8" s="199" t="s">
        <v>270</v>
      </c>
    </row>
    <row r="9" spans="2:16" s="49" customFormat="1" ht="29.25" customHeight="1">
      <c r="B9" s="24"/>
      <c r="C9" s="26"/>
      <c r="D9" s="27">
        <v>4300</v>
      </c>
      <c r="E9" s="28" t="s">
        <v>41</v>
      </c>
      <c r="F9" s="42">
        <v>5000</v>
      </c>
      <c r="G9" s="82"/>
      <c r="H9" s="82"/>
      <c r="I9" s="82"/>
      <c r="J9" s="82"/>
      <c r="K9" s="82"/>
      <c r="L9" s="82"/>
      <c r="M9" s="82"/>
      <c r="N9" s="82"/>
      <c r="O9" s="128">
        <f>F9+G9+H9+I9+J9+K9+L9+M9+N9</f>
        <v>5000</v>
      </c>
      <c r="P9" s="199"/>
    </row>
    <row r="10" spans="2:16" s="49" customFormat="1" ht="28.5" customHeight="1">
      <c r="B10" s="24"/>
      <c r="C10" s="25" t="s">
        <v>42</v>
      </c>
      <c r="D10" s="14"/>
      <c r="E10" s="17" t="s">
        <v>43</v>
      </c>
      <c r="F10" s="57">
        <f>SUM(F11:F12)</f>
        <v>493693</v>
      </c>
      <c r="G10" s="58">
        <f>SUM(G11:G12)</f>
        <v>0</v>
      </c>
      <c r="H10" s="58">
        <f aca="true" t="shared" si="2" ref="H10:N10">SUM(H11:H12)</f>
        <v>0</v>
      </c>
      <c r="I10" s="58">
        <f t="shared" si="2"/>
        <v>0</v>
      </c>
      <c r="J10" s="58">
        <f t="shared" si="2"/>
        <v>0</v>
      </c>
      <c r="K10" s="58">
        <f t="shared" si="2"/>
        <v>0</v>
      </c>
      <c r="L10" s="58">
        <f t="shared" si="2"/>
        <v>0</v>
      </c>
      <c r="M10" s="58">
        <f t="shared" si="2"/>
        <v>0</v>
      </c>
      <c r="N10" s="58">
        <f t="shared" si="2"/>
        <v>0</v>
      </c>
      <c r="O10" s="162">
        <f>SUM(O11:O12)</f>
        <v>493693</v>
      </c>
      <c r="P10" s="219"/>
    </row>
    <row r="11" spans="2:16" s="49" customFormat="1" ht="12.75">
      <c r="B11" s="24"/>
      <c r="C11" s="25"/>
      <c r="D11" s="27">
        <v>4300</v>
      </c>
      <c r="E11" s="28" t="s">
        <v>41</v>
      </c>
      <c r="F11" s="42">
        <v>10000</v>
      </c>
      <c r="G11" s="82"/>
      <c r="H11" s="82"/>
      <c r="I11" s="82"/>
      <c r="J11" s="82"/>
      <c r="K11" s="82"/>
      <c r="L11" s="82"/>
      <c r="M11" s="82"/>
      <c r="N11" s="82"/>
      <c r="O11" s="128">
        <f>F11+G11+H11+I11+J11+K11+L11+M11+N11</f>
        <v>10000</v>
      </c>
      <c r="P11" s="199"/>
    </row>
    <row r="12" spans="2:16" s="49" customFormat="1" ht="25.5">
      <c r="B12" s="29"/>
      <c r="C12" s="26"/>
      <c r="D12" s="27">
        <v>6050</v>
      </c>
      <c r="E12" s="28" t="s">
        <v>44</v>
      </c>
      <c r="F12" s="62">
        <f>75000+20000+19293+40000+10000+30400+74000+145000+70000</f>
        <v>483693</v>
      </c>
      <c r="G12" s="64"/>
      <c r="H12" s="64"/>
      <c r="I12" s="64"/>
      <c r="J12" s="64"/>
      <c r="K12" s="64"/>
      <c r="L12" s="64"/>
      <c r="M12" s="64"/>
      <c r="N12" s="64"/>
      <c r="O12" s="128">
        <f>F12+G12+H12+I12+J12+K12+L12+M12+N12</f>
        <v>483693</v>
      </c>
      <c r="P12" s="199"/>
    </row>
    <row r="13" spans="2:16" s="49" customFormat="1" ht="63.75">
      <c r="B13" s="24"/>
      <c r="C13" s="25" t="s">
        <v>186</v>
      </c>
      <c r="D13" s="14"/>
      <c r="E13" s="17" t="s">
        <v>187</v>
      </c>
      <c r="F13" s="57">
        <f>SUM(F14:F14)</f>
        <v>5000</v>
      </c>
      <c r="G13" s="252">
        <f>SUM(G14:G14)</f>
        <v>-2000</v>
      </c>
      <c r="H13" s="58">
        <f aca="true" t="shared" si="3" ref="H13:N13">SUM(H14:H14)</f>
        <v>0</v>
      </c>
      <c r="I13" s="58">
        <f t="shared" si="3"/>
        <v>0</v>
      </c>
      <c r="J13" s="58">
        <f t="shared" si="3"/>
        <v>0</v>
      </c>
      <c r="K13" s="58">
        <f t="shared" si="3"/>
        <v>0</v>
      </c>
      <c r="L13" s="58">
        <f t="shared" si="3"/>
        <v>0</v>
      </c>
      <c r="M13" s="58">
        <f t="shared" si="3"/>
        <v>0</v>
      </c>
      <c r="N13" s="58">
        <f t="shared" si="3"/>
        <v>0</v>
      </c>
      <c r="O13" s="162">
        <f>SUM(O14:O14)</f>
        <v>3000</v>
      </c>
      <c r="P13" s="219"/>
    </row>
    <row r="14" spans="2:16" s="49" customFormat="1" ht="22.5">
      <c r="B14" s="24"/>
      <c r="C14" s="27"/>
      <c r="D14" s="27">
        <v>4300</v>
      </c>
      <c r="E14" s="28" t="s">
        <v>41</v>
      </c>
      <c r="F14" s="42">
        <v>5000</v>
      </c>
      <c r="G14" s="230">
        <v>-2000</v>
      </c>
      <c r="H14" s="82"/>
      <c r="I14" s="82"/>
      <c r="J14" s="82"/>
      <c r="K14" s="82"/>
      <c r="L14" s="82"/>
      <c r="M14" s="82"/>
      <c r="N14" s="82"/>
      <c r="O14" s="128">
        <f>F14+G14+H14+I14+J14+K14+L14+M14+N14</f>
        <v>3000</v>
      </c>
      <c r="P14" s="199" t="s">
        <v>271</v>
      </c>
    </row>
    <row r="15" spans="2:16" s="49" customFormat="1" ht="12.75">
      <c r="B15" s="24"/>
      <c r="C15" s="25" t="s">
        <v>188</v>
      </c>
      <c r="D15" s="27"/>
      <c r="E15" s="17" t="s">
        <v>189</v>
      </c>
      <c r="F15" s="57">
        <f aca="true" t="shared" si="4" ref="F15:N15">SUM(F16)</f>
        <v>22780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162">
        <f>SUM(O16)</f>
        <v>22780</v>
      </c>
      <c r="P15" s="219"/>
    </row>
    <row r="16" spans="2:16" s="49" customFormat="1" ht="38.25">
      <c r="B16" s="24"/>
      <c r="C16" s="27"/>
      <c r="D16" s="27">
        <v>2850</v>
      </c>
      <c r="E16" s="28" t="s">
        <v>190</v>
      </c>
      <c r="F16" s="42">
        <v>22780</v>
      </c>
      <c r="G16" s="82"/>
      <c r="H16" s="82"/>
      <c r="I16" s="82"/>
      <c r="J16" s="82"/>
      <c r="K16" s="82"/>
      <c r="L16" s="82"/>
      <c r="M16" s="82"/>
      <c r="N16" s="82"/>
      <c r="O16" s="128">
        <f>F16+G16+H16+I16+J16+K16+L16+M16+N16</f>
        <v>22780</v>
      </c>
      <c r="P16" s="199"/>
    </row>
    <row r="17" spans="2:16" s="49" customFormat="1" ht="12.75">
      <c r="B17" s="24"/>
      <c r="C17" s="25" t="s">
        <v>45</v>
      </c>
      <c r="D17" s="14"/>
      <c r="E17" s="17" t="s">
        <v>34</v>
      </c>
      <c r="F17" s="57">
        <f>SUM(F18:F20)</f>
        <v>76000</v>
      </c>
      <c r="G17" s="252">
        <f>SUM(G18:G20)</f>
        <v>-65000</v>
      </c>
      <c r="H17" s="58">
        <f aca="true" t="shared" si="5" ref="H17:N17">SUM(H18:H20)</f>
        <v>0</v>
      </c>
      <c r="I17" s="58">
        <f>SUM(I18:I20)</f>
        <v>0</v>
      </c>
      <c r="J17" s="58">
        <f t="shared" si="5"/>
        <v>0</v>
      </c>
      <c r="K17" s="58">
        <f t="shared" si="5"/>
        <v>0</v>
      </c>
      <c r="L17" s="58">
        <f t="shared" si="5"/>
        <v>0</v>
      </c>
      <c r="M17" s="58">
        <f t="shared" si="5"/>
        <v>0</v>
      </c>
      <c r="N17" s="58">
        <f t="shared" si="5"/>
        <v>0</v>
      </c>
      <c r="O17" s="162">
        <f>O19+O18+O20</f>
        <v>11000</v>
      </c>
      <c r="P17" s="219"/>
    </row>
    <row r="18" spans="2:16" s="49" customFormat="1" ht="12.75" customHeight="1">
      <c r="B18" s="24"/>
      <c r="C18" s="25"/>
      <c r="D18" s="27">
        <v>4210</v>
      </c>
      <c r="E18" s="28" t="s">
        <v>39</v>
      </c>
      <c r="F18" s="42">
        <v>11000</v>
      </c>
      <c r="G18" s="230">
        <v>-9000</v>
      </c>
      <c r="H18" s="82"/>
      <c r="I18" s="82"/>
      <c r="J18" s="82"/>
      <c r="K18" s="82"/>
      <c r="L18" s="82"/>
      <c r="M18" s="82"/>
      <c r="N18" s="82"/>
      <c r="O18" s="128">
        <f>F18+G18+H18+I18+J18+K18+L18+M18+N18</f>
        <v>2000</v>
      </c>
      <c r="P18" s="446" t="s">
        <v>272</v>
      </c>
    </row>
    <row r="19" spans="2:16" s="49" customFormat="1" ht="12.75">
      <c r="B19" s="24"/>
      <c r="C19" s="27"/>
      <c r="D19" s="27">
        <v>4300</v>
      </c>
      <c r="E19" s="28" t="s">
        <v>41</v>
      </c>
      <c r="F19" s="42">
        <v>65000</v>
      </c>
      <c r="G19" s="230">
        <v>-56000</v>
      </c>
      <c r="H19" s="82"/>
      <c r="I19" s="82"/>
      <c r="J19" s="82"/>
      <c r="K19" s="82"/>
      <c r="L19" s="82"/>
      <c r="M19" s="82"/>
      <c r="N19" s="82"/>
      <c r="O19" s="128">
        <f>F19+G19+H19+I19+J19+K19+L19+M19+N19</f>
        <v>9000</v>
      </c>
      <c r="P19" s="447"/>
    </row>
    <row r="20" spans="2:16" s="49" customFormat="1" ht="12.75" customHeight="1" hidden="1">
      <c r="B20" s="24"/>
      <c r="C20" s="27"/>
      <c r="D20" s="9">
        <v>4430</v>
      </c>
      <c r="E20" s="11" t="s">
        <v>46</v>
      </c>
      <c r="F20" s="42"/>
      <c r="G20" s="82"/>
      <c r="H20" s="82"/>
      <c r="I20" s="82"/>
      <c r="J20" s="82"/>
      <c r="K20" s="82"/>
      <c r="L20" s="82"/>
      <c r="M20" s="82"/>
      <c r="N20" s="82"/>
      <c r="O20" s="128">
        <f>F20+G20+H20+I20+J20+K20+L20+M20+N20</f>
        <v>0</v>
      </c>
      <c r="P20" s="199"/>
    </row>
    <row r="21" spans="2:16" s="49" customFormat="1" ht="12.75">
      <c r="B21" s="127" t="s">
        <v>5</v>
      </c>
      <c r="C21" s="22"/>
      <c r="D21" s="22"/>
      <c r="E21" s="23" t="s">
        <v>6</v>
      </c>
      <c r="F21" s="65">
        <f>F22</f>
        <v>5000</v>
      </c>
      <c r="G21" s="66">
        <f>G22</f>
        <v>0</v>
      </c>
      <c r="H21" s="66">
        <f aca="true" t="shared" si="6" ref="H21:N21">H22</f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5">
        <f>O22</f>
        <v>5000</v>
      </c>
      <c r="P21" s="220"/>
    </row>
    <row r="22" spans="2:16" s="49" customFormat="1" ht="12.75">
      <c r="B22" s="24"/>
      <c r="C22" s="25" t="s">
        <v>7</v>
      </c>
      <c r="D22" s="14"/>
      <c r="E22" s="17" t="s">
        <v>34</v>
      </c>
      <c r="F22" s="57">
        <f>SUM(F23:F24)</f>
        <v>5000</v>
      </c>
      <c r="G22" s="58">
        <f>SUM(G23:G24)</f>
        <v>0</v>
      </c>
      <c r="H22" s="58">
        <f aca="true" t="shared" si="7" ref="H22:N22">SUM(H23:H24)</f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162">
        <f>O23+O24</f>
        <v>5000</v>
      </c>
      <c r="P22" s="219"/>
    </row>
    <row r="23" spans="2:16" s="49" customFormat="1" ht="12.75">
      <c r="B23" s="24"/>
      <c r="C23" s="26"/>
      <c r="D23" s="27">
        <v>4210</v>
      </c>
      <c r="E23" s="28" t="s">
        <v>39</v>
      </c>
      <c r="F23" s="42">
        <v>1500</v>
      </c>
      <c r="G23" s="82"/>
      <c r="H23" s="82"/>
      <c r="I23" s="82"/>
      <c r="J23" s="82"/>
      <c r="K23" s="82"/>
      <c r="L23" s="82"/>
      <c r="M23" s="82"/>
      <c r="N23" s="82"/>
      <c r="O23" s="128">
        <f>F23+G23+H23+I23+J23+K23+L23+M23+N23</f>
        <v>1500</v>
      </c>
      <c r="P23" s="199"/>
    </row>
    <row r="24" spans="2:16" s="49" customFormat="1" ht="12.75">
      <c r="B24" s="24"/>
      <c r="C24" s="26"/>
      <c r="D24" s="27">
        <v>4300</v>
      </c>
      <c r="E24" s="28" t="s">
        <v>41</v>
      </c>
      <c r="F24" s="42">
        <v>3500</v>
      </c>
      <c r="G24" s="82"/>
      <c r="H24" s="82"/>
      <c r="I24" s="82"/>
      <c r="J24" s="82"/>
      <c r="K24" s="82"/>
      <c r="L24" s="82"/>
      <c r="M24" s="82"/>
      <c r="N24" s="82"/>
      <c r="O24" s="128">
        <f>F24+G24+H24+I24+J24+K24+L24+M24+N24</f>
        <v>3500</v>
      </c>
      <c r="P24" s="199"/>
    </row>
    <row r="25" spans="2:16" s="49" customFormat="1" ht="12.75">
      <c r="B25" s="30">
        <v>600</v>
      </c>
      <c r="C25" s="31"/>
      <c r="D25" s="31"/>
      <c r="E25" s="32" t="s">
        <v>47</v>
      </c>
      <c r="F25" s="65">
        <f>F31+F28+F26</f>
        <v>190000</v>
      </c>
      <c r="G25" s="66">
        <f>G31+G28</f>
        <v>90000</v>
      </c>
      <c r="H25" s="66">
        <f aca="true" t="shared" si="8" ref="H25:N25">H31+H28</f>
        <v>0</v>
      </c>
      <c r="I25" s="66">
        <f t="shared" si="8"/>
        <v>0</v>
      </c>
      <c r="J25" s="66">
        <f t="shared" si="8"/>
        <v>0</v>
      </c>
      <c r="K25" s="66">
        <f t="shared" si="8"/>
        <v>0</v>
      </c>
      <c r="L25" s="66">
        <f t="shared" si="8"/>
        <v>0</v>
      </c>
      <c r="M25" s="66">
        <f t="shared" si="8"/>
        <v>0</v>
      </c>
      <c r="N25" s="66">
        <f t="shared" si="8"/>
        <v>0</v>
      </c>
      <c r="O25" s="65">
        <f>O31+O28+O26</f>
        <v>280000</v>
      </c>
      <c r="P25" s="220"/>
    </row>
    <row r="26" spans="2:16" s="69" customFormat="1" ht="12.75">
      <c r="B26" s="33"/>
      <c r="C26" s="14">
        <v>60013</v>
      </c>
      <c r="D26" s="14"/>
      <c r="E26" s="17" t="s">
        <v>273</v>
      </c>
      <c r="F26" s="38">
        <f>F27</f>
        <v>20000</v>
      </c>
      <c r="G26" s="39"/>
      <c r="H26" s="39"/>
      <c r="I26" s="39"/>
      <c r="J26" s="39"/>
      <c r="K26" s="39"/>
      <c r="L26" s="39"/>
      <c r="M26" s="39"/>
      <c r="N26" s="39"/>
      <c r="O26" s="162">
        <f>O27</f>
        <v>20000</v>
      </c>
      <c r="P26" s="221"/>
    </row>
    <row r="27" spans="2:16" s="69" customFormat="1" ht="63.75">
      <c r="B27" s="33"/>
      <c r="C27" s="36"/>
      <c r="D27" s="27">
        <v>6300</v>
      </c>
      <c r="E27" s="28" t="s">
        <v>50</v>
      </c>
      <c r="F27" s="37">
        <v>20000</v>
      </c>
      <c r="G27" s="39"/>
      <c r="H27" s="39"/>
      <c r="I27" s="39"/>
      <c r="J27" s="39"/>
      <c r="K27" s="39"/>
      <c r="L27" s="39"/>
      <c r="M27" s="39"/>
      <c r="N27" s="39"/>
      <c r="O27" s="128">
        <f>F27+G27+H27+I27+J27+K27+L27+M27+N27</f>
        <v>20000</v>
      </c>
      <c r="P27" s="221"/>
    </row>
    <row r="28" spans="2:16" s="69" customFormat="1" ht="12.75">
      <c r="B28" s="33"/>
      <c r="C28" s="14">
        <v>60014</v>
      </c>
      <c r="D28" s="14"/>
      <c r="E28" s="17" t="s">
        <v>48</v>
      </c>
      <c r="F28" s="38">
        <f>SUM(F29:F30)</f>
        <v>130000</v>
      </c>
      <c r="G28" s="39">
        <f>SUM(G29:G30)</f>
        <v>90000</v>
      </c>
      <c r="H28" s="39">
        <f aca="true" t="shared" si="9" ref="H28:N28">SUM(H29:H30)</f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162">
        <f>SUM(O29:O30)</f>
        <v>220000</v>
      </c>
      <c r="P28" s="221"/>
    </row>
    <row r="29" spans="2:16" s="69" customFormat="1" ht="76.5" customHeight="1" hidden="1">
      <c r="B29" s="33"/>
      <c r="C29" s="14"/>
      <c r="D29" s="111">
        <v>2710</v>
      </c>
      <c r="E29" s="132" t="s">
        <v>49</v>
      </c>
      <c r="F29" s="37"/>
      <c r="G29" s="40"/>
      <c r="H29" s="40"/>
      <c r="I29" s="40"/>
      <c r="J29" s="40"/>
      <c r="K29" s="40"/>
      <c r="L29" s="40"/>
      <c r="M29" s="40"/>
      <c r="N29" s="40"/>
      <c r="O29" s="128">
        <f>F29+G29+H29+I29+J29+K29+L29+M29+N29</f>
        <v>0</v>
      </c>
      <c r="P29" s="205"/>
    </row>
    <row r="30" spans="2:16" s="69" customFormat="1" ht="63.75">
      <c r="B30" s="33"/>
      <c r="C30" s="27"/>
      <c r="D30" s="27">
        <v>6300</v>
      </c>
      <c r="E30" s="28" t="s">
        <v>50</v>
      </c>
      <c r="F30" s="37">
        <v>130000</v>
      </c>
      <c r="G30" s="40">
        <v>90000</v>
      </c>
      <c r="H30" s="40"/>
      <c r="I30" s="40"/>
      <c r="J30" s="40"/>
      <c r="K30" s="40"/>
      <c r="L30" s="40"/>
      <c r="M30" s="40"/>
      <c r="N30" s="40"/>
      <c r="O30" s="128">
        <f>F30+G30+H30+I30+J30+K30+L30+M30+N30</f>
        <v>220000</v>
      </c>
      <c r="P30" s="253" t="s">
        <v>274</v>
      </c>
    </row>
    <row r="31" spans="2:16" s="49" customFormat="1" ht="12.75">
      <c r="B31" s="24"/>
      <c r="C31" s="14">
        <v>60016</v>
      </c>
      <c r="D31" s="14"/>
      <c r="E31" s="17" t="s">
        <v>51</v>
      </c>
      <c r="F31" s="57">
        <f>SUM(F32:F32)</f>
        <v>40000</v>
      </c>
      <c r="G31" s="58">
        <f>SUM(G32:G32)</f>
        <v>0</v>
      </c>
      <c r="H31" s="58">
        <f aca="true" t="shared" si="10" ref="H31:N31">SUM(H32:H32)</f>
        <v>0</v>
      </c>
      <c r="I31" s="58">
        <f t="shared" si="10"/>
        <v>0</v>
      </c>
      <c r="J31" s="58">
        <f t="shared" si="10"/>
        <v>0</v>
      </c>
      <c r="K31" s="58">
        <f t="shared" si="10"/>
        <v>0</v>
      </c>
      <c r="L31" s="58">
        <f t="shared" si="10"/>
        <v>0</v>
      </c>
      <c r="M31" s="58">
        <f t="shared" si="10"/>
        <v>0</v>
      </c>
      <c r="N31" s="58">
        <f t="shared" si="10"/>
        <v>0</v>
      </c>
      <c r="O31" s="162">
        <f>SUM(O32:O32)</f>
        <v>40000</v>
      </c>
      <c r="P31" s="219"/>
    </row>
    <row r="32" spans="2:16" s="49" customFormat="1" ht="33" customHeight="1">
      <c r="B32" s="29"/>
      <c r="C32" s="26"/>
      <c r="D32" s="27">
        <v>6050</v>
      </c>
      <c r="E32" s="28" t="s">
        <v>44</v>
      </c>
      <c r="F32" s="42">
        <f>40000</f>
        <v>40000</v>
      </c>
      <c r="G32" s="82"/>
      <c r="H32" s="82"/>
      <c r="I32" s="82"/>
      <c r="J32" s="82"/>
      <c r="K32" s="82"/>
      <c r="L32" s="82"/>
      <c r="M32" s="82"/>
      <c r="N32" s="82"/>
      <c r="O32" s="128">
        <f>F32+G32+H32+I32+J32+K32+L32+M32+N32</f>
        <v>40000</v>
      </c>
      <c r="P32" s="199"/>
    </row>
    <row r="33" spans="2:16" s="49" customFormat="1" ht="12.75" hidden="1">
      <c r="B33" s="30">
        <v>700</v>
      </c>
      <c r="C33" s="31"/>
      <c r="D33" s="31"/>
      <c r="E33" s="32" t="s">
        <v>21</v>
      </c>
      <c r="F33" s="65">
        <f>F37+F34</f>
        <v>859938</v>
      </c>
      <c r="G33" s="66">
        <f>G37+G34</f>
        <v>0</v>
      </c>
      <c r="H33" s="66">
        <f aca="true" t="shared" si="11" ref="H33:N33">H37+H34</f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65">
        <f>O37+O34</f>
        <v>859938</v>
      </c>
      <c r="P33" s="220"/>
    </row>
    <row r="34" spans="2:16" s="49" customFormat="1" ht="28.5" customHeight="1" hidden="1">
      <c r="B34" s="24"/>
      <c r="C34" s="14">
        <v>70004</v>
      </c>
      <c r="D34" s="14"/>
      <c r="E34" s="17" t="s">
        <v>52</v>
      </c>
      <c r="F34" s="57">
        <f>SUM(F35:F35)</f>
        <v>404938</v>
      </c>
      <c r="G34" s="58">
        <f>SUM(G35:G35)</f>
        <v>0</v>
      </c>
      <c r="H34" s="58">
        <f>SUM(H35:H36)</f>
        <v>0</v>
      </c>
      <c r="I34" s="58">
        <f aca="true" t="shared" si="12" ref="I34:N34">SUM(I35:I35)</f>
        <v>0</v>
      </c>
      <c r="J34" s="58">
        <f t="shared" si="12"/>
        <v>0</v>
      </c>
      <c r="K34" s="58">
        <f t="shared" si="12"/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162">
        <f>SUM(O35:O36)</f>
        <v>404938</v>
      </c>
      <c r="P34" s="219"/>
    </row>
    <row r="35" spans="2:16" s="47" customFormat="1" ht="25.5" hidden="1">
      <c r="B35" s="34"/>
      <c r="C35" s="35"/>
      <c r="D35" s="27">
        <v>2650</v>
      </c>
      <c r="E35" s="28" t="s">
        <v>53</v>
      </c>
      <c r="F35" s="42">
        <v>404938</v>
      </c>
      <c r="G35" s="82"/>
      <c r="H35" s="82"/>
      <c r="I35" s="82"/>
      <c r="J35" s="82"/>
      <c r="K35" s="82"/>
      <c r="L35" s="82"/>
      <c r="M35" s="82"/>
      <c r="N35" s="82"/>
      <c r="O35" s="128">
        <f>F35+G35+H35+I35+J35+K35+L35+M35+N35</f>
        <v>404938</v>
      </c>
      <c r="P35" s="199"/>
    </row>
    <row r="36" spans="2:16" s="47" customFormat="1" ht="76.5" customHeight="1" hidden="1">
      <c r="B36" s="34"/>
      <c r="C36" s="35"/>
      <c r="D36" s="27">
        <v>6210</v>
      </c>
      <c r="E36" s="28" t="s">
        <v>54</v>
      </c>
      <c r="F36" s="42"/>
      <c r="G36" s="82"/>
      <c r="H36" s="82"/>
      <c r="I36" s="82"/>
      <c r="J36" s="82"/>
      <c r="K36" s="82"/>
      <c r="L36" s="82"/>
      <c r="M36" s="82"/>
      <c r="N36" s="82"/>
      <c r="O36" s="128">
        <f>F36+G36+H36+I36+J36+K36+L36+M36+N36</f>
        <v>0</v>
      </c>
      <c r="P36" s="199"/>
    </row>
    <row r="37" spans="2:16" s="80" customFormat="1" ht="28.5" customHeight="1" hidden="1">
      <c r="B37" s="33"/>
      <c r="C37" s="14">
        <v>70005</v>
      </c>
      <c r="D37" s="14"/>
      <c r="E37" s="17" t="s">
        <v>22</v>
      </c>
      <c r="F37" s="57">
        <f>SUM(F38:F40)</f>
        <v>455000</v>
      </c>
      <c r="G37" s="58">
        <f>SUM(G38:G40)</f>
        <v>0</v>
      </c>
      <c r="H37" s="58">
        <f aca="true" t="shared" si="13" ref="H37:N37">SUM(H38:H40)</f>
        <v>0</v>
      </c>
      <c r="I37" s="58">
        <f t="shared" si="13"/>
        <v>0</v>
      </c>
      <c r="J37" s="58">
        <f t="shared" si="13"/>
        <v>0</v>
      </c>
      <c r="K37" s="58">
        <f t="shared" si="13"/>
        <v>0</v>
      </c>
      <c r="L37" s="58">
        <f t="shared" si="13"/>
        <v>0</v>
      </c>
      <c r="M37" s="58">
        <f t="shared" si="13"/>
        <v>0</v>
      </c>
      <c r="N37" s="58">
        <f t="shared" si="13"/>
        <v>0</v>
      </c>
      <c r="O37" s="162">
        <f>SUM(O38:O40)</f>
        <v>455000</v>
      </c>
      <c r="P37" s="219"/>
    </row>
    <row r="38" spans="2:16" s="80" customFormat="1" ht="110.25" customHeight="1" hidden="1">
      <c r="B38" s="33"/>
      <c r="C38" s="36"/>
      <c r="D38" s="27">
        <v>4300</v>
      </c>
      <c r="E38" s="28" t="s">
        <v>41</v>
      </c>
      <c r="F38" s="37">
        <f>15000+35000+10000+10000+6000+5000+5000+20000+25000+20000</f>
        <v>151000</v>
      </c>
      <c r="G38" s="40"/>
      <c r="H38" s="40"/>
      <c r="I38" s="40"/>
      <c r="J38" s="40"/>
      <c r="K38" s="40"/>
      <c r="L38" s="40"/>
      <c r="M38" s="40"/>
      <c r="N38" s="40"/>
      <c r="O38" s="128">
        <f>F38+G38+H38+I38+J38+K38+L38+M38+N38</f>
        <v>151000</v>
      </c>
      <c r="P38" s="205"/>
    </row>
    <row r="39" spans="2:16" s="80" customFormat="1" ht="52.5" customHeight="1" hidden="1">
      <c r="B39" s="33"/>
      <c r="C39" s="36"/>
      <c r="D39" s="27">
        <v>6050</v>
      </c>
      <c r="E39" s="28" t="s">
        <v>44</v>
      </c>
      <c r="F39" s="37">
        <f>74000+100000+40000</f>
        <v>214000</v>
      </c>
      <c r="G39" s="40"/>
      <c r="H39" s="40"/>
      <c r="I39" s="40"/>
      <c r="J39" s="40"/>
      <c r="K39" s="40"/>
      <c r="L39" s="40"/>
      <c r="M39" s="40"/>
      <c r="N39" s="40"/>
      <c r="O39" s="128">
        <f>F39+G39+H39+I39+J39+K39+L39+M39+N39</f>
        <v>214000</v>
      </c>
      <c r="P39" s="205"/>
    </row>
    <row r="40" spans="2:16" s="80" customFormat="1" ht="28.5" customHeight="1" hidden="1">
      <c r="B40" s="33"/>
      <c r="C40" s="36"/>
      <c r="D40" s="27">
        <v>6060</v>
      </c>
      <c r="E40" s="28" t="s">
        <v>55</v>
      </c>
      <c r="F40" s="37">
        <f>40000+50000</f>
        <v>90000</v>
      </c>
      <c r="G40" s="40"/>
      <c r="H40" s="40"/>
      <c r="I40" s="40"/>
      <c r="J40" s="40"/>
      <c r="K40" s="40"/>
      <c r="L40" s="40"/>
      <c r="M40" s="40"/>
      <c r="N40" s="40"/>
      <c r="O40" s="128">
        <f>F40+G40+H40+I40+J40+K40+L40+M40+N40</f>
        <v>90000</v>
      </c>
      <c r="P40" s="205"/>
    </row>
    <row r="41" spans="2:16" s="49" customFormat="1" ht="12.75" hidden="1">
      <c r="B41" s="30">
        <v>710</v>
      </c>
      <c r="C41" s="31"/>
      <c r="D41" s="31"/>
      <c r="E41" s="32" t="s">
        <v>191</v>
      </c>
      <c r="F41" s="65">
        <f>F42+F45+F47</f>
        <v>183200</v>
      </c>
      <c r="G41" s="66">
        <f>G42+G45+G47</f>
        <v>0</v>
      </c>
      <c r="H41" s="66">
        <f aca="true" t="shared" si="14" ref="H41:N41">H42+H45+H47</f>
        <v>0</v>
      </c>
      <c r="I41" s="66">
        <f t="shared" si="14"/>
        <v>0</v>
      </c>
      <c r="J41" s="66">
        <f t="shared" si="14"/>
        <v>0</v>
      </c>
      <c r="K41" s="66">
        <f t="shared" si="14"/>
        <v>0</v>
      </c>
      <c r="L41" s="66">
        <f t="shared" si="14"/>
        <v>0</v>
      </c>
      <c r="M41" s="66">
        <f t="shared" si="14"/>
        <v>0</v>
      </c>
      <c r="N41" s="66">
        <f t="shared" si="14"/>
        <v>0</v>
      </c>
      <c r="O41" s="65">
        <f>O42+O45+O47</f>
        <v>183200</v>
      </c>
      <c r="P41" s="220"/>
    </row>
    <row r="42" spans="2:16" s="49" customFormat="1" ht="28.5" customHeight="1" hidden="1">
      <c r="B42" s="24"/>
      <c r="C42" s="14">
        <v>71004</v>
      </c>
      <c r="D42" s="14"/>
      <c r="E42" s="17" t="s">
        <v>192</v>
      </c>
      <c r="F42" s="57">
        <f>SUM(F43:F44)</f>
        <v>108200</v>
      </c>
      <c r="G42" s="58">
        <f>SUM(G43:G44)</f>
        <v>0</v>
      </c>
      <c r="H42" s="58">
        <f aca="true" t="shared" si="15" ref="H42:N42">SUM(H43:H44)</f>
        <v>0</v>
      </c>
      <c r="I42" s="58">
        <f t="shared" si="15"/>
        <v>0</v>
      </c>
      <c r="J42" s="58">
        <f t="shared" si="15"/>
        <v>0</v>
      </c>
      <c r="K42" s="58">
        <f t="shared" si="15"/>
        <v>0</v>
      </c>
      <c r="L42" s="58">
        <f t="shared" si="15"/>
        <v>0</v>
      </c>
      <c r="M42" s="58">
        <f t="shared" si="15"/>
        <v>0</v>
      </c>
      <c r="N42" s="58">
        <f t="shared" si="15"/>
        <v>0</v>
      </c>
      <c r="O42" s="163">
        <f>SUM(O43:O44)</f>
        <v>108200</v>
      </c>
      <c r="P42" s="219"/>
    </row>
    <row r="43" spans="2:16" s="49" customFormat="1" ht="12.75" hidden="1">
      <c r="B43" s="24"/>
      <c r="C43" s="14"/>
      <c r="D43" s="27">
        <v>3030</v>
      </c>
      <c r="E43" s="28" t="s">
        <v>56</v>
      </c>
      <c r="F43" s="42">
        <v>18200</v>
      </c>
      <c r="G43" s="82"/>
      <c r="H43" s="82"/>
      <c r="I43" s="82"/>
      <c r="J43" s="82"/>
      <c r="K43" s="82"/>
      <c r="L43" s="82"/>
      <c r="M43" s="82"/>
      <c r="N43" s="82"/>
      <c r="O43" s="128">
        <f>F43+G43+H43+I43+J43+K43+L43+M43+N43</f>
        <v>18200</v>
      </c>
      <c r="P43" s="199"/>
    </row>
    <row r="44" spans="2:16" s="49" customFormat="1" ht="12.75" hidden="1">
      <c r="B44" s="24"/>
      <c r="C44" s="27"/>
      <c r="D44" s="27">
        <v>4300</v>
      </c>
      <c r="E44" s="28" t="s">
        <v>41</v>
      </c>
      <c r="F44" s="42">
        <f>75000+15000</f>
        <v>90000</v>
      </c>
      <c r="G44" s="82"/>
      <c r="H44" s="82"/>
      <c r="I44" s="82"/>
      <c r="J44" s="82"/>
      <c r="K44" s="82"/>
      <c r="L44" s="82"/>
      <c r="M44" s="82"/>
      <c r="N44" s="82"/>
      <c r="O44" s="128">
        <f>F44+G44+H44+I44+J44+K44+L44+M44+N44</f>
        <v>90000</v>
      </c>
      <c r="P44" s="199"/>
    </row>
    <row r="45" spans="2:16" s="49" customFormat="1" ht="28.5" customHeight="1" hidden="1">
      <c r="B45" s="24"/>
      <c r="C45" s="14">
        <v>71014</v>
      </c>
      <c r="D45" s="14"/>
      <c r="E45" s="17" t="s">
        <v>193</v>
      </c>
      <c r="F45" s="57">
        <f aca="true" t="shared" si="16" ref="F45:O45">SUM(F46:F46)</f>
        <v>60000</v>
      </c>
      <c r="G45" s="58">
        <f t="shared" si="16"/>
        <v>0</v>
      </c>
      <c r="H45" s="58">
        <f t="shared" si="16"/>
        <v>0</v>
      </c>
      <c r="I45" s="58">
        <f t="shared" si="16"/>
        <v>0</v>
      </c>
      <c r="J45" s="58">
        <f t="shared" si="16"/>
        <v>0</v>
      </c>
      <c r="K45" s="58">
        <f t="shared" si="16"/>
        <v>0</v>
      </c>
      <c r="L45" s="58">
        <f t="shared" si="16"/>
        <v>0</v>
      </c>
      <c r="M45" s="58">
        <f t="shared" si="16"/>
        <v>0</v>
      </c>
      <c r="N45" s="58">
        <f t="shared" si="16"/>
        <v>0</v>
      </c>
      <c r="O45" s="163">
        <f t="shared" si="16"/>
        <v>60000</v>
      </c>
      <c r="P45" s="219"/>
    </row>
    <row r="46" spans="2:16" s="49" customFormat="1" ht="12.75" hidden="1">
      <c r="B46" s="24"/>
      <c r="C46" s="27"/>
      <c r="D46" s="27">
        <v>4300</v>
      </c>
      <c r="E46" s="28" t="s">
        <v>41</v>
      </c>
      <c r="F46" s="42">
        <v>60000</v>
      </c>
      <c r="G46" s="82"/>
      <c r="H46" s="82"/>
      <c r="I46" s="82"/>
      <c r="J46" s="82"/>
      <c r="K46" s="82"/>
      <c r="L46" s="82"/>
      <c r="M46" s="82"/>
      <c r="N46" s="82"/>
      <c r="O46" s="128">
        <f>F46+G46+H46+I46+J46+K46+L46+M46+N46</f>
        <v>60000</v>
      </c>
      <c r="P46" s="199"/>
    </row>
    <row r="47" spans="2:16" s="49" customFormat="1" ht="12.75" hidden="1">
      <c r="B47" s="24"/>
      <c r="C47" s="14">
        <v>71095</v>
      </c>
      <c r="D47" s="14"/>
      <c r="E47" s="17" t="s">
        <v>34</v>
      </c>
      <c r="F47" s="57">
        <f>F48</f>
        <v>15000</v>
      </c>
      <c r="G47" s="58">
        <f>G48</f>
        <v>0</v>
      </c>
      <c r="H47" s="58">
        <f aca="true" t="shared" si="17" ref="H47:N47">H48</f>
        <v>0</v>
      </c>
      <c r="I47" s="58">
        <f t="shared" si="17"/>
        <v>0</v>
      </c>
      <c r="J47" s="58">
        <f t="shared" si="17"/>
        <v>0</v>
      </c>
      <c r="K47" s="58">
        <f t="shared" si="17"/>
        <v>0</v>
      </c>
      <c r="L47" s="58">
        <f t="shared" si="17"/>
        <v>0</v>
      </c>
      <c r="M47" s="58">
        <f t="shared" si="17"/>
        <v>0</v>
      </c>
      <c r="N47" s="58">
        <f t="shared" si="17"/>
        <v>0</v>
      </c>
      <c r="O47" s="162">
        <f>O48</f>
        <v>15000</v>
      </c>
      <c r="P47" s="219"/>
    </row>
    <row r="48" spans="2:16" s="49" customFormat="1" ht="12.75" hidden="1">
      <c r="B48" s="24"/>
      <c r="C48" s="27"/>
      <c r="D48" s="27">
        <v>4300</v>
      </c>
      <c r="E48" s="28" t="s">
        <v>41</v>
      </c>
      <c r="F48" s="42">
        <v>15000</v>
      </c>
      <c r="G48" s="82"/>
      <c r="H48" s="82"/>
      <c r="I48" s="82"/>
      <c r="J48" s="82"/>
      <c r="K48" s="82"/>
      <c r="L48" s="82"/>
      <c r="M48" s="82"/>
      <c r="N48" s="82"/>
      <c r="O48" s="128">
        <f>F48+G48+H48+I48+J48+K48+L48+M48+N48</f>
        <v>15000</v>
      </c>
      <c r="P48" s="199"/>
    </row>
    <row r="49" spans="2:16" s="49" customFormat="1" ht="12.75">
      <c r="B49" s="30">
        <v>750</v>
      </c>
      <c r="C49" s="31"/>
      <c r="D49" s="31"/>
      <c r="E49" s="32" t="s">
        <v>25</v>
      </c>
      <c r="F49" s="65">
        <f>F50+F53+F62+F86</f>
        <v>3070162</v>
      </c>
      <c r="G49" s="254">
        <f aca="true" t="shared" si="18" ref="G49:O49">G50+G53+G62+G86</f>
        <v>68926</v>
      </c>
      <c r="H49" s="66">
        <f t="shared" si="18"/>
        <v>0</v>
      </c>
      <c r="I49" s="66">
        <f t="shared" si="18"/>
        <v>0</v>
      </c>
      <c r="J49" s="66">
        <f t="shared" si="18"/>
        <v>0</v>
      </c>
      <c r="K49" s="66">
        <f t="shared" si="18"/>
        <v>0</v>
      </c>
      <c r="L49" s="66">
        <f t="shared" si="18"/>
        <v>0</v>
      </c>
      <c r="M49" s="66">
        <f t="shared" si="18"/>
        <v>0</v>
      </c>
      <c r="N49" s="66">
        <f t="shared" si="18"/>
        <v>0</v>
      </c>
      <c r="O49" s="65">
        <f t="shared" si="18"/>
        <v>3139088</v>
      </c>
      <c r="P49" s="220"/>
    </row>
    <row r="50" spans="2:16" s="49" customFormat="1" ht="12.75">
      <c r="B50" s="24"/>
      <c r="C50" s="14">
        <v>75011</v>
      </c>
      <c r="D50" s="14"/>
      <c r="E50" s="17" t="s">
        <v>143</v>
      </c>
      <c r="F50" s="57">
        <f>SUM(F51:F52)</f>
        <v>58100</v>
      </c>
      <c r="G50" s="58">
        <f>SUM(G51:G52)</f>
        <v>0</v>
      </c>
      <c r="H50" s="58">
        <f aca="true" t="shared" si="19" ref="H50:N50">SUM(H51:H52)</f>
        <v>0</v>
      </c>
      <c r="I50" s="58">
        <f t="shared" si="19"/>
        <v>0</v>
      </c>
      <c r="J50" s="58">
        <f t="shared" si="19"/>
        <v>0</v>
      </c>
      <c r="K50" s="58">
        <f t="shared" si="19"/>
        <v>0</v>
      </c>
      <c r="L50" s="58">
        <f t="shared" si="19"/>
        <v>0</v>
      </c>
      <c r="M50" s="58">
        <f t="shared" si="19"/>
        <v>0</v>
      </c>
      <c r="N50" s="58">
        <f t="shared" si="19"/>
        <v>0</v>
      </c>
      <c r="O50" s="162">
        <f>SUM(O51:O52)</f>
        <v>58100</v>
      </c>
      <c r="P50" s="219"/>
    </row>
    <row r="51" spans="2:16" s="49" customFormat="1" ht="12.75">
      <c r="B51" s="24"/>
      <c r="C51" s="27"/>
      <c r="D51" s="27">
        <v>4010</v>
      </c>
      <c r="E51" s="28" t="s">
        <v>57</v>
      </c>
      <c r="F51" s="106">
        <v>50478</v>
      </c>
      <c r="G51" s="82"/>
      <c r="H51" s="82"/>
      <c r="I51" s="82"/>
      <c r="J51" s="82"/>
      <c r="K51" s="82"/>
      <c r="L51" s="82"/>
      <c r="M51" s="82"/>
      <c r="N51" s="82"/>
      <c r="O51" s="128">
        <f>F51+G51+H51+I51+J51+K51+L51+M51+N51</f>
        <v>50478</v>
      </c>
      <c r="P51" s="199"/>
    </row>
    <row r="52" spans="2:16" s="49" customFormat="1" ht="12.75">
      <c r="B52" s="24"/>
      <c r="C52" s="27"/>
      <c r="D52" s="27">
        <v>4110</v>
      </c>
      <c r="E52" s="28" t="s">
        <v>58</v>
      </c>
      <c r="F52" s="42">
        <v>7622</v>
      </c>
      <c r="G52" s="82"/>
      <c r="H52" s="82"/>
      <c r="I52" s="82"/>
      <c r="J52" s="82"/>
      <c r="K52" s="82"/>
      <c r="L52" s="82"/>
      <c r="M52" s="82"/>
      <c r="N52" s="82"/>
      <c r="O52" s="128">
        <f>F52+G52+H52+I52+J52+K52+L52+M52+N52</f>
        <v>7622</v>
      </c>
      <c r="P52" s="199"/>
    </row>
    <row r="53" spans="2:16" s="49" customFormat="1" ht="12.75">
      <c r="B53" s="24"/>
      <c r="C53" s="14">
        <v>75022</v>
      </c>
      <c r="D53" s="14"/>
      <c r="E53" s="17" t="s">
        <v>144</v>
      </c>
      <c r="F53" s="57">
        <f>SUM(F55:F61)</f>
        <v>257600</v>
      </c>
      <c r="G53" s="252">
        <f>SUM(G55:G61)</f>
        <v>-59800</v>
      </c>
      <c r="H53" s="58">
        <f aca="true" t="shared" si="20" ref="H53:N53">SUM(H55:H60)</f>
        <v>0</v>
      </c>
      <c r="I53" s="58">
        <f t="shared" si="20"/>
        <v>0</v>
      </c>
      <c r="J53" s="58">
        <f t="shared" si="20"/>
        <v>0</v>
      </c>
      <c r="K53" s="58">
        <f>SUM(K55:K61)</f>
        <v>0</v>
      </c>
      <c r="L53" s="58">
        <f t="shared" si="20"/>
        <v>0</v>
      </c>
      <c r="M53" s="58">
        <f t="shared" si="20"/>
        <v>0</v>
      </c>
      <c r="N53" s="58">
        <f t="shared" si="20"/>
        <v>0</v>
      </c>
      <c r="O53" s="162">
        <f>SUM(O54:O61)</f>
        <v>197800</v>
      </c>
      <c r="P53" s="219"/>
    </row>
    <row r="54" spans="2:16" s="49" customFormat="1" ht="76.5" customHeight="1" hidden="1">
      <c r="B54" s="24"/>
      <c r="C54" s="14"/>
      <c r="D54" s="27">
        <v>2710</v>
      </c>
      <c r="E54" s="28" t="s">
        <v>49</v>
      </c>
      <c r="F54" s="57"/>
      <c r="G54" s="252"/>
      <c r="H54" s="58"/>
      <c r="I54" s="58"/>
      <c r="J54" s="58"/>
      <c r="K54" s="58"/>
      <c r="L54" s="58"/>
      <c r="M54" s="58"/>
      <c r="N54" s="58"/>
      <c r="O54" s="128">
        <f aca="true" t="shared" si="21" ref="O54:O61">F54+G54+H54+I54+J54+K54+L54+M54+N54</f>
        <v>0</v>
      </c>
      <c r="P54" s="219"/>
    </row>
    <row r="55" spans="2:16" s="49" customFormat="1" ht="12.75">
      <c r="B55" s="24"/>
      <c r="C55" s="27"/>
      <c r="D55" s="27">
        <v>3030</v>
      </c>
      <c r="E55" s="28" t="s">
        <v>56</v>
      </c>
      <c r="F55" s="42">
        <v>129000</v>
      </c>
      <c r="G55" s="230"/>
      <c r="H55" s="82"/>
      <c r="I55" s="82"/>
      <c r="J55" s="82"/>
      <c r="K55" s="82"/>
      <c r="L55" s="82"/>
      <c r="M55" s="82"/>
      <c r="N55" s="82"/>
      <c r="O55" s="128">
        <f t="shared" si="21"/>
        <v>129000</v>
      </c>
      <c r="P55" s="199"/>
    </row>
    <row r="56" spans="2:16" s="49" customFormat="1" ht="22.5" customHeight="1">
      <c r="B56" s="24"/>
      <c r="C56" s="27"/>
      <c r="D56" s="27">
        <v>4210</v>
      </c>
      <c r="E56" s="28" t="s">
        <v>39</v>
      </c>
      <c r="F56" s="42">
        <f>40500+300</f>
        <v>40800</v>
      </c>
      <c r="G56" s="230">
        <v>-24000</v>
      </c>
      <c r="H56" s="82"/>
      <c r="I56" s="82"/>
      <c r="J56" s="82"/>
      <c r="K56" s="82"/>
      <c r="L56" s="82"/>
      <c r="M56" s="82"/>
      <c r="N56" s="82"/>
      <c r="O56" s="128">
        <f t="shared" si="21"/>
        <v>16800</v>
      </c>
      <c r="P56" s="446" t="s">
        <v>275</v>
      </c>
    </row>
    <row r="57" spans="2:16" s="49" customFormat="1" ht="12.75">
      <c r="B57" s="24"/>
      <c r="C57" s="27"/>
      <c r="D57" s="27">
        <v>4260</v>
      </c>
      <c r="E57" s="28" t="s">
        <v>59</v>
      </c>
      <c r="F57" s="42">
        <v>7500</v>
      </c>
      <c r="G57" s="230"/>
      <c r="H57" s="82"/>
      <c r="I57" s="82"/>
      <c r="J57" s="82"/>
      <c r="K57" s="82"/>
      <c r="L57" s="82"/>
      <c r="M57" s="82"/>
      <c r="N57" s="82"/>
      <c r="O57" s="128">
        <f t="shared" si="21"/>
        <v>7500</v>
      </c>
      <c r="P57" s="448"/>
    </row>
    <row r="58" spans="2:16" s="49" customFormat="1" ht="12.75">
      <c r="B58" s="24"/>
      <c r="C58" s="27"/>
      <c r="D58" s="27">
        <v>4300</v>
      </c>
      <c r="E58" s="28" t="s">
        <v>41</v>
      </c>
      <c r="F58" s="42">
        <f>6000+2000+25000+30000+2500+10000+500</f>
        <v>76000</v>
      </c>
      <c r="G58" s="230">
        <v>-33000</v>
      </c>
      <c r="H58" s="82"/>
      <c r="I58" s="82"/>
      <c r="J58" s="82"/>
      <c r="K58" s="82"/>
      <c r="L58" s="82"/>
      <c r="M58" s="82"/>
      <c r="N58" s="82"/>
      <c r="O58" s="128">
        <f t="shared" si="21"/>
        <v>43000</v>
      </c>
      <c r="P58" s="448"/>
    </row>
    <row r="59" spans="2:16" s="49" customFormat="1" ht="12.75">
      <c r="B59" s="24"/>
      <c r="C59" s="27"/>
      <c r="D59" s="27">
        <v>4410</v>
      </c>
      <c r="E59" s="28" t="s">
        <v>60</v>
      </c>
      <c r="F59" s="42">
        <v>1300</v>
      </c>
      <c r="G59" s="230">
        <v>-800</v>
      </c>
      <c r="H59" s="82"/>
      <c r="I59" s="82"/>
      <c r="J59" s="82"/>
      <c r="K59" s="82"/>
      <c r="L59" s="82"/>
      <c r="M59" s="82"/>
      <c r="N59" s="82"/>
      <c r="O59" s="128">
        <f t="shared" si="21"/>
        <v>500</v>
      </c>
      <c r="P59" s="448"/>
    </row>
    <row r="60" spans="2:16" s="49" customFormat="1" ht="12.75">
      <c r="B60" s="24"/>
      <c r="C60" s="27"/>
      <c r="D60" s="27">
        <v>4420</v>
      </c>
      <c r="E60" s="28" t="s">
        <v>145</v>
      </c>
      <c r="F60" s="42">
        <v>2000</v>
      </c>
      <c r="G60" s="230">
        <v>-2000</v>
      </c>
      <c r="H60" s="82"/>
      <c r="I60" s="82"/>
      <c r="J60" s="82"/>
      <c r="K60" s="82"/>
      <c r="L60" s="82"/>
      <c r="M60" s="82"/>
      <c r="N60" s="82"/>
      <c r="O60" s="128">
        <f t="shared" si="21"/>
        <v>0</v>
      </c>
      <c r="P60" s="447"/>
    </row>
    <row r="61" spans="2:16" s="49" customFormat="1" ht="25.5">
      <c r="B61" s="24"/>
      <c r="C61" s="27"/>
      <c r="D61" s="27">
        <v>4700</v>
      </c>
      <c r="E61" s="28" t="s">
        <v>204</v>
      </c>
      <c r="F61" s="42">
        <f>1000</f>
        <v>1000</v>
      </c>
      <c r="G61" s="82"/>
      <c r="H61" s="82"/>
      <c r="I61" s="82"/>
      <c r="J61" s="82"/>
      <c r="K61" s="82"/>
      <c r="L61" s="82"/>
      <c r="M61" s="82"/>
      <c r="N61" s="82"/>
      <c r="O61" s="128">
        <f t="shared" si="21"/>
        <v>1000</v>
      </c>
      <c r="P61" s="199"/>
    </row>
    <row r="62" spans="2:16" s="49" customFormat="1" ht="12.75">
      <c r="B62" s="24"/>
      <c r="C62" s="14">
        <v>75023</v>
      </c>
      <c r="D62" s="14"/>
      <c r="E62" s="17" t="s">
        <v>27</v>
      </c>
      <c r="F62" s="57">
        <f>SUM(F63:F85)</f>
        <v>2469462</v>
      </c>
      <c r="G62" s="252">
        <f>SUM(G63:G85)</f>
        <v>-82274</v>
      </c>
      <c r="H62" s="58">
        <f aca="true" t="shared" si="22" ref="H62:N62">SUM(H63:H85)</f>
        <v>0</v>
      </c>
      <c r="I62" s="58">
        <f t="shared" si="22"/>
        <v>0</v>
      </c>
      <c r="J62" s="58">
        <f t="shared" si="22"/>
        <v>0</v>
      </c>
      <c r="K62" s="58">
        <f t="shared" si="22"/>
        <v>0</v>
      </c>
      <c r="L62" s="58">
        <f t="shared" si="22"/>
        <v>0</v>
      </c>
      <c r="M62" s="58">
        <f t="shared" si="22"/>
        <v>0</v>
      </c>
      <c r="N62" s="58">
        <f t="shared" si="22"/>
        <v>0</v>
      </c>
      <c r="O62" s="162">
        <f>SUM(O63:O85)</f>
        <v>2387188</v>
      </c>
      <c r="P62" s="219"/>
    </row>
    <row r="63" spans="2:16" s="49" customFormat="1" ht="28.5" customHeight="1">
      <c r="B63" s="24"/>
      <c r="C63" s="27"/>
      <c r="D63" s="27">
        <v>3020</v>
      </c>
      <c r="E63" s="28" t="s">
        <v>61</v>
      </c>
      <c r="F63" s="42">
        <v>9100</v>
      </c>
      <c r="G63" s="230"/>
      <c r="H63" s="82"/>
      <c r="I63" s="82"/>
      <c r="J63" s="82"/>
      <c r="K63" s="82"/>
      <c r="L63" s="82"/>
      <c r="M63" s="82"/>
      <c r="N63" s="82"/>
      <c r="O63" s="128">
        <f aca="true" t="shared" si="23" ref="O63:O85">F63+G63+H63+I63+J63+K63+L63+M63+N63</f>
        <v>9100</v>
      </c>
      <c r="P63" s="199"/>
    </row>
    <row r="64" spans="2:16" s="49" customFormat="1" ht="12.75">
      <c r="B64" s="24"/>
      <c r="C64" s="27"/>
      <c r="D64" s="27">
        <v>4010</v>
      </c>
      <c r="E64" s="28" t="s">
        <v>57</v>
      </c>
      <c r="F64" s="42">
        <v>1476500</v>
      </c>
      <c r="G64" s="230">
        <v>-60994</v>
      </c>
      <c r="H64" s="82"/>
      <c r="I64" s="82"/>
      <c r="J64" s="82"/>
      <c r="K64" s="82"/>
      <c r="L64" s="82"/>
      <c r="M64" s="82"/>
      <c r="N64" s="82"/>
      <c r="O64" s="128">
        <f t="shared" si="23"/>
        <v>1415506</v>
      </c>
      <c r="P64" s="449" t="s">
        <v>276</v>
      </c>
    </row>
    <row r="65" spans="2:16" s="49" customFormat="1" ht="12.75">
      <c r="B65" s="24"/>
      <c r="C65" s="27"/>
      <c r="D65" s="27">
        <v>4040</v>
      </c>
      <c r="E65" s="28" t="s">
        <v>62</v>
      </c>
      <c r="F65" s="42">
        <v>105100</v>
      </c>
      <c r="G65" s="230">
        <v>-1120</v>
      </c>
      <c r="H65" s="82"/>
      <c r="I65" s="82"/>
      <c r="J65" s="82"/>
      <c r="K65" s="82"/>
      <c r="L65" s="82"/>
      <c r="M65" s="82"/>
      <c r="N65" s="82"/>
      <c r="O65" s="128">
        <f t="shared" si="23"/>
        <v>103980</v>
      </c>
      <c r="P65" s="450"/>
    </row>
    <row r="66" spans="2:16" s="49" customFormat="1" ht="12.75">
      <c r="B66" s="24"/>
      <c r="C66" s="27"/>
      <c r="D66" s="27">
        <v>4110</v>
      </c>
      <c r="E66" s="28" t="s">
        <v>58</v>
      </c>
      <c r="F66" s="42">
        <v>248600</v>
      </c>
      <c r="G66" s="230">
        <v>-21000</v>
      </c>
      <c r="H66" s="82"/>
      <c r="I66" s="82"/>
      <c r="J66" s="82"/>
      <c r="K66" s="82"/>
      <c r="L66" s="82"/>
      <c r="M66" s="82"/>
      <c r="N66" s="82"/>
      <c r="O66" s="128">
        <f t="shared" si="23"/>
        <v>227600</v>
      </c>
      <c r="P66" s="450"/>
    </row>
    <row r="67" spans="2:16" s="49" customFormat="1" ht="12.75">
      <c r="B67" s="24"/>
      <c r="C67" s="27"/>
      <c r="D67" s="27">
        <v>4120</v>
      </c>
      <c r="E67" s="28" t="s">
        <v>146</v>
      </c>
      <c r="F67" s="42">
        <v>40300</v>
      </c>
      <c r="G67" s="230">
        <v>-1000</v>
      </c>
      <c r="H67" s="82"/>
      <c r="I67" s="82"/>
      <c r="J67" s="82"/>
      <c r="K67" s="82"/>
      <c r="L67" s="82"/>
      <c r="M67" s="82"/>
      <c r="N67" s="82"/>
      <c r="O67" s="128">
        <f t="shared" si="23"/>
        <v>39300</v>
      </c>
      <c r="P67" s="450"/>
    </row>
    <row r="68" spans="2:16" s="49" customFormat="1" ht="12.75">
      <c r="B68" s="24"/>
      <c r="C68" s="27"/>
      <c r="D68" s="27">
        <v>4170</v>
      </c>
      <c r="E68" s="28" t="s">
        <v>63</v>
      </c>
      <c r="F68" s="42">
        <v>14000</v>
      </c>
      <c r="G68" s="82"/>
      <c r="H68" s="82"/>
      <c r="I68" s="82"/>
      <c r="J68" s="82"/>
      <c r="K68" s="82"/>
      <c r="L68" s="82"/>
      <c r="M68" s="82"/>
      <c r="N68" s="82"/>
      <c r="O68" s="128">
        <f t="shared" si="23"/>
        <v>14000</v>
      </c>
      <c r="P68" s="450"/>
    </row>
    <row r="69" spans="2:16" s="49" customFormat="1" ht="12.75">
      <c r="B69" s="24"/>
      <c r="C69" s="27"/>
      <c r="D69" s="27">
        <v>4210</v>
      </c>
      <c r="E69" s="28" t="s">
        <v>39</v>
      </c>
      <c r="F69" s="42">
        <f>4000+2500+2000+2000+10000+1850+8000+11500+6500+13500+7300+3000+7850</f>
        <v>80000</v>
      </c>
      <c r="G69" s="82"/>
      <c r="H69" s="82"/>
      <c r="I69" s="82"/>
      <c r="J69" s="82"/>
      <c r="K69" s="82"/>
      <c r="L69" s="82"/>
      <c r="M69" s="82"/>
      <c r="N69" s="82"/>
      <c r="O69" s="128">
        <f t="shared" si="23"/>
        <v>80000</v>
      </c>
      <c r="P69" s="450"/>
    </row>
    <row r="70" spans="2:16" s="49" customFormat="1" ht="12.75">
      <c r="B70" s="24"/>
      <c r="C70" s="27"/>
      <c r="D70" s="27">
        <v>4260</v>
      </c>
      <c r="E70" s="28" t="s">
        <v>59</v>
      </c>
      <c r="F70" s="42">
        <v>45000</v>
      </c>
      <c r="G70" s="82">
        <v>5000</v>
      </c>
      <c r="H70" s="82"/>
      <c r="I70" s="82"/>
      <c r="J70" s="82"/>
      <c r="K70" s="82"/>
      <c r="L70" s="82"/>
      <c r="M70" s="82"/>
      <c r="N70" s="82"/>
      <c r="O70" s="128">
        <f t="shared" si="23"/>
        <v>50000</v>
      </c>
      <c r="P70" s="450"/>
    </row>
    <row r="71" spans="2:16" s="49" customFormat="1" ht="12.75">
      <c r="B71" s="24"/>
      <c r="C71" s="27"/>
      <c r="D71" s="27">
        <v>4270</v>
      </c>
      <c r="E71" s="28" t="s">
        <v>40</v>
      </c>
      <c r="F71" s="42">
        <f>15000+43100+7500</f>
        <v>65600</v>
      </c>
      <c r="G71" s="82"/>
      <c r="H71" s="82"/>
      <c r="I71" s="82"/>
      <c r="J71" s="82"/>
      <c r="K71" s="82"/>
      <c r="L71" s="82"/>
      <c r="M71" s="82"/>
      <c r="N71" s="82"/>
      <c r="O71" s="128">
        <f t="shared" si="23"/>
        <v>65600</v>
      </c>
      <c r="P71" s="450"/>
    </row>
    <row r="72" spans="2:16" s="49" customFormat="1" ht="12.75">
      <c r="B72" s="24"/>
      <c r="C72" s="27"/>
      <c r="D72" s="27">
        <v>4280</v>
      </c>
      <c r="E72" s="28" t="s">
        <v>64</v>
      </c>
      <c r="F72" s="42">
        <v>1442</v>
      </c>
      <c r="G72" s="82"/>
      <c r="H72" s="82"/>
      <c r="I72" s="82"/>
      <c r="J72" s="82"/>
      <c r="K72" s="82"/>
      <c r="L72" s="82"/>
      <c r="M72" s="82"/>
      <c r="N72" s="82"/>
      <c r="O72" s="128">
        <f t="shared" si="23"/>
        <v>1442</v>
      </c>
      <c r="P72" s="450"/>
    </row>
    <row r="73" spans="2:16" s="49" customFormat="1" ht="12.75">
      <c r="B73" s="24"/>
      <c r="C73" s="27"/>
      <c r="D73" s="27">
        <v>4300</v>
      </c>
      <c r="E73" s="28" t="s">
        <v>41</v>
      </c>
      <c r="F73" s="42">
        <f>44300+600+6000+3000+25000</f>
        <v>78900</v>
      </c>
      <c r="G73" s="82"/>
      <c r="H73" s="82"/>
      <c r="I73" s="82"/>
      <c r="J73" s="82"/>
      <c r="K73" s="82"/>
      <c r="L73" s="82"/>
      <c r="M73" s="82"/>
      <c r="N73" s="82"/>
      <c r="O73" s="128">
        <f t="shared" si="23"/>
        <v>78900</v>
      </c>
      <c r="P73" s="450"/>
    </row>
    <row r="74" spans="2:16" s="49" customFormat="1" ht="12.75">
      <c r="B74" s="24"/>
      <c r="C74" s="27"/>
      <c r="D74" s="27">
        <v>4350</v>
      </c>
      <c r="E74" s="28" t="s">
        <v>65</v>
      </c>
      <c r="F74" s="42">
        <v>4500</v>
      </c>
      <c r="G74" s="82"/>
      <c r="H74" s="82"/>
      <c r="I74" s="82"/>
      <c r="J74" s="82"/>
      <c r="K74" s="82"/>
      <c r="L74" s="82"/>
      <c r="M74" s="82"/>
      <c r="N74" s="82"/>
      <c r="O74" s="128">
        <f t="shared" si="23"/>
        <v>4500</v>
      </c>
      <c r="P74" s="450"/>
    </row>
    <row r="75" spans="2:16" s="49" customFormat="1" ht="38.25">
      <c r="B75" s="24"/>
      <c r="C75" s="27"/>
      <c r="D75" s="27">
        <v>4360</v>
      </c>
      <c r="E75" s="28" t="s">
        <v>66</v>
      </c>
      <c r="F75" s="42">
        <v>5000</v>
      </c>
      <c r="G75" s="82"/>
      <c r="H75" s="82"/>
      <c r="I75" s="82"/>
      <c r="J75" s="82"/>
      <c r="K75" s="82"/>
      <c r="L75" s="82"/>
      <c r="M75" s="82"/>
      <c r="N75" s="82"/>
      <c r="O75" s="128">
        <f t="shared" si="23"/>
        <v>5000</v>
      </c>
      <c r="P75" s="450"/>
    </row>
    <row r="76" spans="2:16" s="49" customFormat="1" ht="38.25">
      <c r="B76" s="24"/>
      <c r="C76" s="27"/>
      <c r="D76" s="27">
        <v>4370</v>
      </c>
      <c r="E76" s="28" t="s">
        <v>67</v>
      </c>
      <c r="F76" s="42">
        <v>35000</v>
      </c>
      <c r="G76" s="82"/>
      <c r="H76" s="82"/>
      <c r="I76" s="82"/>
      <c r="J76" s="82"/>
      <c r="K76" s="82"/>
      <c r="L76" s="82"/>
      <c r="M76" s="82"/>
      <c r="N76" s="82"/>
      <c r="O76" s="128">
        <f t="shared" si="23"/>
        <v>35000</v>
      </c>
      <c r="P76" s="450"/>
    </row>
    <row r="77" spans="2:16" s="49" customFormat="1" ht="12.75">
      <c r="B77" s="24"/>
      <c r="C77" s="27"/>
      <c r="D77" s="27">
        <v>4410</v>
      </c>
      <c r="E77" s="28" t="s">
        <v>60</v>
      </c>
      <c r="F77" s="42">
        <f>15000+28000</f>
        <v>43000</v>
      </c>
      <c r="G77" s="82"/>
      <c r="H77" s="82"/>
      <c r="I77" s="82"/>
      <c r="J77" s="82"/>
      <c r="K77" s="82"/>
      <c r="L77" s="82"/>
      <c r="M77" s="82"/>
      <c r="N77" s="82"/>
      <c r="O77" s="128">
        <f t="shared" si="23"/>
        <v>43000</v>
      </c>
      <c r="P77" s="450"/>
    </row>
    <row r="78" spans="2:16" s="49" customFormat="1" ht="12.75">
      <c r="B78" s="24"/>
      <c r="C78" s="27"/>
      <c r="D78" s="27">
        <v>4420</v>
      </c>
      <c r="E78" s="28" t="s">
        <v>205</v>
      </c>
      <c r="F78" s="42">
        <v>2000</v>
      </c>
      <c r="G78" s="82"/>
      <c r="H78" s="82"/>
      <c r="I78" s="82"/>
      <c r="J78" s="82"/>
      <c r="K78" s="82"/>
      <c r="L78" s="82"/>
      <c r="M78" s="82"/>
      <c r="N78" s="82"/>
      <c r="O78" s="128">
        <f t="shared" si="23"/>
        <v>2000</v>
      </c>
      <c r="P78" s="450"/>
    </row>
    <row r="79" spans="2:16" s="49" customFormat="1" ht="12.75">
      <c r="B79" s="24"/>
      <c r="C79" s="27"/>
      <c r="D79" s="27">
        <v>4430</v>
      </c>
      <c r="E79" s="28" t="s">
        <v>46</v>
      </c>
      <c r="F79" s="42">
        <f>6060+2000+1660+5100+1000+100+11000</f>
        <v>26920</v>
      </c>
      <c r="G79" s="82"/>
      <c r="H79" s="82"/>
      <c r="I79" s="82"/>
      <c r="J79" s="82"/>
      <c r="K79" s="82"/>
      <c r="L79" s="82"/>
      <c r="M79" s="82"/>
      <c r="N79" s="82"/>
      <c r="O79" s="128">
        <f t="shared" si="23"/>
        <v>26920</v>
      </c>
      <c r="P79" s="450"/>
    </row>
    <row r="80" spans="2:16" s="49" customFormat="1" ht="28.5" customHeight="1">
      <c r="B80" s="24"/>
      <c r="C80" s="27"/>
      <c r="D80" s="27">
        <v>4440</v>
      </c>
      <c r="E80" s="28" t="s">
        <v>68</v>
      </c>
      <c r="F80" s="42">
        <v>43500</v>
      </c>
      <c r="G80" s="230">
        <v>-3160</v>
      </c>
      <c r="H80" s="82"/>
      <c r="I80" s="82"/>
      <c r="J80" s="82"/>
      <c r="K80" s="82"/>
      <c r="L80" s="82"/>
      <c r="M80" s="82"/>
      <c r="N80" s="82"/>
      <c r="O80" s="128">
        <f t="shared" si="23"/>
        <v>40340</v>
      </c>
      <c r="P80" s="450"/>
    </row>
    <row r="81" spans="2:16" s="49" customFormat="1" ht="28.5" customHeight="1">
      <c r="B81" s="24"/>
      <c r="C81" s="27"/>
      <c r="D81" s="27">
        <v>4700</v>
      </c>
      <c r="E81" s="28" t="s">
        <v>204</v>
      </c>
      <c r="F81" s="42">
        <v>15000</v>
      </c>
      <c r="G81" s="82"/>
      <c r="H81" s="82"/>
      <c r="I81" s="82"/>
      <c r="J81" s="82"/>
      <c r="K81" s="82"/>
      <c r="L81" s="82"/>
      <c r="M81" s="82"/>
      <c r="N81" s="82"/>
      <c r="O81" s="128">
        <f t="shared" si="23"/>
        <v>15000</v>
      </c>
      <c r="P81" s="450"/>
    </row>
    <row r="82" spans="2:16" s="49" customFormat="1" ht="38.25">
      <c r="B82" s="24"/>
      <c r="C82" s="27"/>
      <c r="D82" s="27">
        <v>4740</v>
      </c>
      <c r="E82" s="28" t="s">
        <v>69</v>
      </c>
      <c r="F82" s="42">
        <v>15000</v>
      </c>
      <c r="G82" s="82"/>
      <c r="H82" s="82"/>
      <c r="I82" s="82"/>
      <c r="J82" s="82"/>
      <c r="K82" s="82"/>
      <c r="L82" s="82"/>
      <c r="M82" s="82"/>
      <c r="N82" s="82"/>
      <c r="O82" s="128">
        <f t="shared" si="23"/>
        <v>15000</v>
      </c>
      <c r="P82" s="450"/>
    </row>
    <row r="83" spans="2:16" s="49" customFormat="1" ht="28.5" customHeight="1">
      <c r="B83" s="24"/>
      <c r="C83" s="27"/>
      <c r="D83" s="27">
        <v>4750</v>
      </c>
      <c r="E83" s="28" t="s">
        <v>70</v>
      </c>
      <c r="F83" s="42">
        <f>25000</f>
        <v>25000</v>
      </c>
      <c r="G83" s="82"/>
      <c r="H83" s="82"/>
      <c r="I83" s="82"/>
      <c r="J83" s="82"/>
      <c r="K83" s="82"/>
      <c r="L83" s="82"/>
      <c r="M83" s="82"/>
      <c r="N83" s="82"/>
      <c r="O83" s="128">
        <f t="shared" si="23"/>
        <v>25000</v>
      </c>
      <c r="P83" s="450"/>
    </row>
    <row r="84" spans="2:16" s="49" customFormat="1" ht="28.5" customHeight="1">
      <c r="B84" s="24"/>
      <c r="C84" s="27"/>
      <c r="D84" s="27">
        <v>6050</v>
      </c>
      <c r="E84" s="28" t="s">
        <v>44</v>
      </c>
      <c r="F84" s="42">
        <v>20000</v>
      </c>
      <c r="G84" s="82"/>
      <c r="H84" s="82"/>
      <c r="I84" s="82"/>
      <c r="J84" s="82"/>
      <c r="K84" s="82"/>
      <c r="L84" s="82"/>
      <c r="M84" s="82"/>
      <c r="N84" s="82"/>
      <c r="O84" s="128">
        <f t="shared" si="23"/>
        <v>20000</v>
      </c>
      <c r="P84" s="450"/>
    </row>
    <row r="85" spans="2:16" s="49" customFormat="1" ht="28.5" customHeight="1">
      <c r="B85" s="24"/>
      <c r="C85" s="27"/>
      <c r="D85" s="27">
        <v>6060</v>
      </c>
      <c r="E85" s="28" t="s">
        <v>55</v>
      </c>
      <c r="F85" s="42">
        <f>15000+55000</f>
        <v>70000</v>
      </c>
      <c r="G85" s="82"/>
      <c r="H85" s="82"/>
      <c r="I85" s="82"/>
      <c r="J85" s="82"/>
      <c r="K85" s="82"/>
      <c r="L85" s="82"/>
      <c r="M85" s="82"/>
      <c r="N85" s="82"/>
      <c r="O85" s="128">
        <f t="shared" si="23"/>
        <v>70000</v>
      </c>
      <c r="P85" s="451"/>
    </row>
    <row r="86" spans="2:16" s="49" customFormat="1" ht="12.75">
      <c r="B86" s="24"/>
      <c r="C86" s="14">
        <v>75095</v>
      </c>
      <c r="D86" s="14"/>
      <c r="E86" s="17" t="s">
        <v>34</v>
      </c>
      <c r="F86" s="57">
        <f>SUM(F87:F93)</f>
        <v>285000</v>
      </c>
      <c r="G86" s="58">
        <f aca="true" t="shared" si="24" ref="G86:O86">SUM(G87:G93)</f>
        <v>211000</v>
      </c>
      <c r="H86" s="58">
        <f t="shared" si="24"/>
        <v>0</v>
      </c>
      <c r="I86" s="58">
        <f t="shared" si="24"/>
        <v>0</v>
      </c>
      <c r="J86" s="58">
        <f t="shared" si="24"/>
        <v>0</v>
      </c>
      <c r="K86" s="58">
        <f t="shared" si="24"/>
        <v>0</v>
      </c>
      <c r="L86" s="57">
        <f t="shared" si="24"/>
        <v>0</v>
      </c>
      <c r="M86" s="57">
        <f t="shared" si="24"/>
        <v>0</v>
      </c>
      <c r="N86" s="57">
        <f t="shared" si="24"/>
        <v>0</v>
      </c>
      <c r="O86" s="162">
        <f t="shared" si="24"/>
        <v>496000</v>
      </c>
      <c r="P86" s="219"/>
    </row>
    <row r="87" spans="2:16" s="49" customFormat="1" ht="12.75" customHeight="1" hidden="1">
      <c r="B87" s="24"/>
      <c r="C87" s="14"/>
      <c r="D87" s="27">
        <v>4170</v>
      </c>
      <c r="E87" s="28" t="s">
        <v>63</v>
      </c>
      <c r="F87" s="57"/>
      <c r="G87" s="82"/>
      <c r="H87" s="58"/>
      <c r="I87" s="82"/>
      <c r="J87" s="58"/>
      <c r="K87" s="58"/>
      <c r="L87" s="58"/>
      <c r="M87" s="58"/>
      <c r="N87" s="58"/>
      <c r="O87" s="128">
        <f aca="true" t="shared" si="25" ref="O87:O93">F87+G87+H87+I87+J87+K87+L87+M87+N87</f>
        <v>0</v>
      </c>
      <c r="P87" s="199"/>
    </row>
    <row r="88" spans="2:16" s="49" customFormat="1" ht="12.75" customHeight="1">
      <c r="B88" s="24"/>
      <c r="C88" s="14"/>
      <c r="D88" s="27">
        <v>4210</v>
      </c>
      <c r="E88" s="28" t="s">
        <v>39</v>
      </c>
      <c r="F88" s="42">
        <v>20000</v>
      </c>
      <c r="G88" s="82"/>
      <c r="H88" s="82"/>
      <c r="I88" s="82"/>
      <c r="J88" s="82"/>
      <c r="K88" s="82"/>
      <c r="L88" s="82"/>
      <c r="M88" s="82"/>
      <c r="N88" s="82"/>
      <c r="O88" s="128">
        <f t="shared" si="25"/>
        <v>20000</v>
      </c>
      <c r="P88" s="199"/>
    </row>
    <row r="89" spans="2:16" s="49" customFormat="1" ht="12.75">
      <c r="B89" s="24"/>
      <c r="C89" s="14"/>
      <c r="D89" s="27">
        <v>4260</v>
      </c>
      <c r="E89" s="28" t="s">
        <v>59</v>
      </c>
      <c r="F89" s="42">
        <v>25000</v>
      </c>
      <c r="G89" s="82"/>
      <c r="H89" s="82"/>
      <c r="I89" s="82"/>
      <c r="J89" s="82"/>
      <c r="K89" s="82"/>
      <c r="L89" s="82"/>
      <c r="M89" s="82"/>
      <c r="N89" s="82"/>
      <c r="O89" s="128">
        <f t="shared" si="25"/>
        <v>25000</v>
      </c>
      <c r="P89" s="199"/>
    </row>
    <row r="90" spans="2:16" s="49" customFormat="1" ht="12.75">
      <c r="B90" s="24"/>
      <c r="C90" s="14"/>
      <c r="D90" s="27">
        <v>4270</v>
      </c>
      <c r="E90" s="28" t="s">
        <v>71</v>
      </c>
      <c r="F90" s="42">
        <f>40000+70000</f>
        <v>110000</v>
      </c>
      <c r="G90" s="82"/>
      <c r="H90" s="82"/>
      <c r="I90" s="82"/>
      <c r="J90" s="82"/>
      <c r="K90" s="82"/>
      <c r="L90" s="82"/>
      <c r="M90" s="82"/>
      <c r="N90" s="82"/>
      <c r="O90" s="128">
        <f t="shared" si="25"/>
        <v>110000</v>
      </c>
      <c r="P90" s="199"/>
    </row>
    <row r="91" spans="2:16" s="49" customFormat="1" ht="12.75">
      <c r="B91" s="24"/>
      <c r="C91" s="27"/>
      <c r="D91" s="27">
        <v>4300</v>
      </c>
      <c r="E91" s="28" t="s">
        <v>41</v>
      </c>
      <c r="F91" s="42">
        <f>3000+20000</f>
        <v>23000</v>
      </c>
      <c r="G91" s="82"/>
      <c r="H91" s="82"/>
      <c r="I91" s="82"/>
      <c r="J91" s="82"/>
      <c r="K91" s="82"/>
      <c r="L91" s="82"/>
      <c r="M91" s="82"/>
      <c r="N91" s="82"/>
      <c r="O91" s="128">
        <f t="shared" si="25"/>
        <v>23000</v>
      </c>
      <c r="P91" s="199"/>
    </row>
    <row r="92" spans="2:16" s="49" customFormat="1" ht="25.5">
      <c r="B92" s="24"/>
      <c r="C92" s="27"/>
      <c r="D92" s="27">
        <v>6050</v>
      </c>
      <c r="E92" s="28" t="s">
        <v>44</v>
      </c>
      <c r="F92" s="42">
        <f>27000+50000+30000</f>
        <v>107000</v>
      </c>
      <c r="G92" s="82">
        <v>211000</v>
      </c>
      <c r="H92" s="82"/>
      <c r="I92" s="82"/>
      <c r="J92" s="82"/>
      <c r="K92" s="82"/>
      <c r="L92" s="82"/>
      <c r="M92" s="82"/>
      <c r="N92" s="82"/>
      <c r="O92" s="128">
        <f t="shared" si="25"/>
        <v>318000</v>
      </c>
      <c r="P92" s="199" t="s">
        <v>277</v>
      </c>
    </row>
    <row r="93" spans="2:16" s="49" customFormat="1" ht="28.5" customHeight="1" hidden="1">
      <c r="B93" s="24"/>
      <c r="C93" s="27"/>
      <c r="D93" s="27">
        <v>6060</v>
      </c>
      <c r="E93" s="28" t="s">
        <v>55</v>
      </c>
      <c r="F93" s="42"/>
      <c r="G93" s="82"/>
      <c r="H93" s="82"/>
      <c r="I93" s="82"/>
      <c r="J93" s="82"/>
      <c r="K93" s="82"/>
      <c r="L93" s="82"/>
      <c r="M93" s="82"/>
      <c r="N93" s="82"/>
      <c r="O93" s="128">
        <f t="shared" si="25"/>
        <v>0</v>
      </c>
      <c r="P93" s="199"/>
    </row>
    <row r="94" spans="2:16" s="49" customFormat="1" ht="38.25" hidden="1">
      <c r="B94" s="30">
        <v>751</v>
      </c>
      <c r="C94" s="31"/>
      <c r="D94" s="31"/>
      <c r="E94" s="32" t="s">
        <v>147</v>
      </c>
      <c r="F94" s="65">
        <f>F95+F97</f>
        <v>1150</v>
      </c>
      <c r="G94" s="66">
        <f>G95+G97</f>
        <v>0</v>
      </c>
      <c r="H94" s="66">
        <f aca="true" t="shared" si="26" ref="H94:N94">H95+H97</f>
        <v>0</v>
      </c>
      <c r="I94" s="66">
        <f t="shared" si="26"/>
        <v>0</v>
      </c>
      <c r="J94" s="66">
        <f t="shared" si="26"/>
        <v>0</v>
      </c>
      <c r="K94" s="66">
        <f t="shared" si="26"/>
        <v>0</v>
      </c>
      <c r="L94" s="66">
        <f t="shared" si="26"/>
        <v>0</v>
      </c>
      <c r="M94" s="66">
        <f t="shared" si="26"/>
        <v>0</v>
      </c>
      <c r="N94" s="66">
        <f t="shared" si="26"/>
        <v>0</v>
      </c>
      <c r="O94" s="65">
        <f>O95+O97</f>
        <v>1150</v>
      </c>
      <c r="P94" s="220"/>
    </row>
    <row r="95" spans="2:16" s="198" customFormat="1" ht="25.5" hidden="1">
      <c r="B95" s="24"/>
      <c r="C95" s="36">
        <v>75101</v>
      </c>
      <c r="D95" s="36"/>
      <c r="E95" s="107" t="s">
        <v>148</v>
      </c>
      <c r="F95" s="57">
        <f>SUM(F96:F96)</f>
        <v>1150</v>
      </c>
      <c r="G95" s="58">
        <f>SUM(G96:G96)</f>
        <v>0</v>
      </c>
      <c r="H95" s="58">
        <f aca="true" t="shared" si="27" ref="H95:N95">SUM(H96:H96)</f>
        <v>0</v>
      </c>
      <c r="I95" s="58">
        <f t="shared" si="27"/>
        <v>0</v>
      </c>
      <c r="J95" s="58">
        <f t="shared" si="27"/>
        <v>0</v>
      </c>
      <c r="K95" s="58">
        <f t="shared" si="27"/>
        <v>0</v>
      </c>
      <c r="L95" s="58">
        <f t="shared" si="27"/>
        <v>0</v>
      </c>
      <c r="M95" s="58">
        <f t="shared" si="27"/>
        <v>0</v>
      </c>
      <c r="N95" s="58">
        <f t="shared" si="27"/>
        <v>0</v>
      </c>
      <c r="O95" s="162">
        <f>SUM(O96:O96)</f>
        <v>1150</v>
      </c>
      <c r="P95" s="219"/>
    </row>
    <row r="96" spans="2:16" s="49" customFormat="1" ht="12.75" hidden="1">
      <c r="B96" s="24"/>
      <c r="C96" s="27"/>
      <c r="D96" s="27">
        <v>4300</v>
      </c>
      <c r="E96" s="28" t="s">
        <v>41</v>
      </c>
      <c r="F96" s="42">
        <v>1150</v>
      </c>
      <c r="G96" s="82"/>
      <c r="H96" s="82"/>
      <c r="I96" s="82"/>
      <c r="J96" s="82"/>
      <c r="K96" s="82"/>
      <c r="L96" s="82"/>
      <c r="M96" s="82"/>
      <c r="N96" s="82"/>
      <c r="O96" s="128">
        <f>F96+G96+H96+I96+J96+K96+L96+M96+N96</f>
        <v>1150</v>
      </c>
      <c r="P96" s="199"/>
    </row>
    <row r="97" spans="2:16" s="49" customFormat="1" ht="12.75" customHeight="1" hidden="1">
      <c r="B97" s="24"/>
      <c r="C97" s="104">
        <v>75108</v>
      </c>
      <c r="D97" s="9"/>
      <c r="E97" s="18" t="s">
        <v>103</v>
      </c>
      <c r="F97" s="57">
        <f>SUM(F98:F102)</f>
        <v>0</v>
      </c>
      <c r="G97" s="58">
        <f>SUM(G98:G102)</f>
        <v>0</v>
      </c>
      <c r="H97" s="58">
        <f aca="true" t="shared" si="28" ref="H97:N97">SUM(H98:H102)</f>
        <v>0</v>
      </c>
      <c r="I97" s="58">
        <f t="shared" si="28"/>
        <v>0</v>
      </c>
      <c r="J97" s="58">
        <f t="shared" si="28"/>
        <v>0</v>
      </c>
      <c r="K97" s="58">
        <f t="shared" si="28"/>
        <v>0</v>
      </c>
      <c r="L97" s="58">
        <f t="shared" si="28"/>
        <v>0</v>
      </c>
      <c r="M97" s="58">
        <f t="shared" si="28"/>
        <v>0</v>
      </c>
      <c r="N97" s="58">
        <f t="shared" si="28"/>
        <v>0</v>
      </c>
      <c r="O97" s="162">
        <f>SUM(O98:O102)</f>
        <v>0</v>
      </c>
      <c r="P97" s="219"/>
    </row>
    <row r="98" spans="2:16" s="49" customFormat="1" ht="25.5" customHeight="1" hidden="1">
      <c r="B98" s="24"/>
      <c r="C98" s="27"/>
      <c r="D98" s="27">
        <v>3030</v>
      </c>
      <c r="E98" s="28" t="s">
        <v>56</v>
      </c>
      <c r="F98" s="42"/>
      <c r="G98" s="82"/>
      <c r="H98" s="82"/>
      <c r="I98" s="82"/>
      <c r="J98" s="82"/>
      <c r="K98" s="82"/>
      <c r="L98" s="82"/>
      <c r="M98" s="82"/>
      <c r="N98" s="82"/>
      <c r="O98" s="128">
        <f>F98+G98+H98+I98+J98+K98+L98+M98+N98</f>
        <v>0</v>
      </c>
      <c r="P98" s="199"/>
    </row>
    <row r="99" spans="2:16" s="49" customFormat="1" ht="12.75" customHeight="1" hidden="1">
      <c r="B99" s="24"/>
      <c r="C99" s="27"/>
      <c r="D99" s="27">
        <v>4170</v>
      </c>
      <c r="E99" s="28" t="s">
        <v>63</v>
      </c>
      <c r="F99" s="42"/>
      <c r="G99" s="82"/>
      <c r="H99" s="82"/>
      <c r="I99" s="82"/>
      <c r="J99" s="82"/>
      <c r="K99" s="82"/>
      <c r="L99" s="82"/>
      <c r="M99" s="82"/>
      <c r="N99" s="82"/>
      <c r="O99" s="128">
        <f>F99+G99+H99+I99+J99+K99+L99+M99+N99</f>
        <v>0</v>
      </c>
      <c r="P99" s="199"/>
    </row>
    <row r="100" spans="2:16" s="49" customFormat="1" ht="12.75" customHeight="1" hidden="1">
      <c r="B100" s="24"/>
      <c r="C100" s="27"/>
      <c r="D100" s="27">
        <v>4210</v>
      </c>
      <c r="E100" s="28" t="s">
        <v>39</v>
      </c>
      <c r="F100" s="42"/>
      <c r="G100" s="82"/>
      <c r="H100" s="82"/>
      <c r="I100" s="82"/>
      <c r="J100" s="82"/>
      <c r="K100" s="82"/>
      <c r="L100" s="82"/>
      <c r="M100" s="82"/>
      <c r="N100" s="82"/>
      <c r="O100" s="128">
        <f>F100+G100+H100+I100+J100+K100+L100+M100+N100</f>
        <v>0</v>
      </c>
      <c r="P100" s="199"/>
    </row>
    <row r="101" spans="2:16" s="49" customFormat="1" ht="12.75" customHeight="1" hidden="1">
      <c r="B101" s="24"/>
      <c r="C101" s="27"/>
      <c r="D101" s="27">
        <v>4300</v>
      </c>
      <c r="E101" s="28" t="s">
        <v>41</v>
      </c>
      <c r="F101" s="42"/>
      <c r="G101" s="82"/>
      <c r="H101" s="82"/>
      <c r="I101" s="82"/>
      <c r="J101" s="82"/>
      <c r="K101" s="82"/>
      <c r="L101" s="82"/>
      <c r="M101" s="82"/>
      <c r="N101" s="82"/>
      <c r="O101" s="128">
        <f>F101+G101+H101+I101+J101+K101+L101+M101+N101</f>
        <v>0</v>
      </c>
      <c r="P101" s="199"/>
    </row>
    <row r="102" spans="2:16" s="49" customFormat="1" ht="12.75" customHeight="1" hidden="1">
      <c r="B102" s="24"/>
      <c r="C102" s="27"/>
      <c r="D102" s="27">
        <v>4410</v>
      </c>
      <c r="E102" s="28" t="s">
        <v>60</v>
      </c>
      <c r="F102" s="42"/>
      <c r="G102" s="82"/>
      <c r="H102" s="82"/>
      <c r="I102" s="82"/>
      <c r="J102" s="82"/>
      <c r="K102" s="82"/>
      <c r="L102" s="82"/>
      <c r="M102" s="82"/>
      <c r="N102" s="82"/>
      <c r="O102" s="128">
        <f>F102+G102+H102+I102+J102+K102+L102+M102+N102</f>
        <v>0</v>
      </c>
      <c r="P102" s="199"/>
    </row>
    <row r="103" spans="2:16" s="49" customFormat="1" ht="28.5" customHeight="1">
      <c r="B103" s="30">
        <v>754</v>
      </c>
      <c r="C103" s="31"/>
      <c r="D103" s="31"/>
      <c r="E103" s="32" t="s">
        <v>72</v>
      </c>
      <c r="F103" s="65">
        <f>F104+F106+F118+F123</f>
        <v>147500</v>
      </c>
      <c r="G103" s="254">
        <f>G104+G106+G118+G123</f>
        <v>-5000</v>
      </c>
      <c r="H103" s="66">
        <f aca="true" t="shared" si="29" ref="H103:N103">H104+H106+H118+H123</f>
        <v>0</v>
      </c>
      <c r="I103" s="66">
        <f t="shared" si="29"/>
        <v>0</v>
      </c>
      <c r="J103" s="66">
        <f t="shared" si="29"/>
        <v>0</v>
      </c>
      <c r="K103" s="66">
        <f t="shared" si="29"/>
        <v>0</v>
      </c>
      <c r="L103" s="66">
        <f t="shared" si="29"/>
        <v>0</v>
      </c>
      <c r="M103" s="66">
        <f t="shared" si="29"/>
        <v>0</v>
      </c>
      <c r="N103" s="66">
        <f t="shared" si="29"/>
        <v>0</v>
      </c>
      <c r="O103" s="65">
        <f>O104+O106+O118+O123</f>
        <v>142500</v>
      </c>
      <c r="P103" s="220"/>
    </row>
    <row r="104" spans="2:16" s="49" customFormat="1" ht="12.75">
      <c r="B104" s="24"/>
      <c r="C104" s="14">
        <v>75403</v>
      </c>
      <c r="D104" s="14"/>
      <c r="E104" s="17" t="s">
        <v>194</v>
      </c>
      <c r="F104" s="57">
        <f aca="true" t="shared" si="30" ref="F104:O104">SUM(F105:F105)</f>
        <v>2000</v>
      </c>
      <c r="G104" s="58">
        <f t="shared" si="30"/>
        <v>0</v>
      </c>
      <c r="H104" s="58">
        <f t="shared" si="30"/>
        <v>0</v>
      </c>
      <c r="I104" s="58">
        <f t="shared" si="30"/>
        <v>0</v>
      </c>
      <c r="J104" s="58">
        <f t="shared" si="30"/>
        <v>0</v>
      </c>
      <c r="K104" s="58">
        <f t="shared" si="30"/>
        <v>0</v>
      </c>
      <c r="L104" s="58">
        <f t="shared" si="30"/>
        <v>0</v>
      </c>
      <c r="M104" s="58">
        <f t="shared" si="30"/>
        <v>0</v>
      </c>
      <c r="N104" s="58">
        <f t="shared" si="30"/>
        <v>0</v>
      </c>
      <c r="O104" s="162">
        <f t="shared" si="30"/>
        <v>2000</v>
      </c>
      <c r="P104" s="219"/>
    </row>
    <row r="105" spans="2:16" s="49" customFormat="1" ht="12.75">
      <c r="B105" s="24"/>
      <c r="C105" s="27"/>
      <c r="D105" s="27">
        <v>4210</v>
      </c>
      <c r="E105" s="28" t="s">
        <v>39</v>
      </c>
      <c r="F105" s="42">
        <v>2000</v>
      </c>
      <c r="G105" s="82"/>
      <c r="H105" s="82"/>
      <c r="I105" s="82"/>
      <c r="J105" s="82"/>
      <c r="K105" s="82"/>
      <c r="L105" s="82"/>
      <c r="M105" s="82"/>
      <c r="N105" s="82"/>
      <c r="O105" s="128">
        <f>F105+G105+H105+I105+J105+K105+L105+M105+N105</f>
        <v>2000</v>
      </c>
      <c r="P105" s="199"/>
    </row>
    <row r="106" spans="2:16" s="49" customFormat="1" ht="12.75">
      <c r="B106" s="24"/>
      <c r="C106" s="14">
        <v>75412</v>
      </c>
      <c r="D106" s="14"/>
      <c r="E106" s="17" t="s">
        <v>73</v>
      </c>
      <c r="F106" s="57">
        <f>SUM(F107:F117)</f>
        <v>141000</v>
      </c>
      <c r="G106" s="252">
        <f>SUM(G107:G117)</f>
        <v>-5000</v>
      </c>
      <c r="H106" s="58">
        <f aca="true" t="shared" si="31" ref="H106:N106">SUM(H107:H117)</f>
        <v>0</v>
      </c>
      <c r="I106" s="58">
        <f t="shared" si="31"/>
        <v>0</v>
      </c>
      <c r="J106" s="58">
        <f t="shared" si="31"/>
        <v>0</v>
      </c>
      <c r="K106" s="58">
        <f t="shared" si="31"/>
        <v>0</v>
      </c>
      <c r="L106" s="58">
        <f t="shared" si="31"/>
        <v>0</v>
      </c>
      <c r="M106" s="58">
        <f t="shared" si="31"/>
        <v>0</v>
      </c>
      <c r="N106" s="58">
        <f t="shared" si="31"/>
        <v>0</v>
      </c>
      <c r="O106" s="162">
        <f>SUM(O107:O117)</f>
        <v>136000</v>
      </c>
      <c r="P106" s="219"/>
    </row>
    <row r="107" spans="2:16" s="49" customFormat="1" ht="12.75">
      <c r="B107" s="24"/>
      <c r="C107" s="27"/>
      <c r="D107" s="27">
        <v>3030</v>
      </c>
      <c r="E107" s="28" t="s">
        <v>56</v>
      </c>
      <c r="F107" s="42">
        <v>27000</v>
      </c>
      <c r="G107" s="82"/>
      <c r="H107" s="82"/>
      <c r="I107" s="82"/>
      <c r="J107" s="82"/>
      <c r="K107" s="82"/>
      <c r="L107" s="82"/>
      <c r="M107" s="82"/>
      <c r="N107" s="82"/>
      <c r="O107" s="128">
        <f aca="true" t="shared" si="32" ref="O107:O117">F107+G107+H107+I107+J107+K107+L107+M107+N107</f>
        <v>27000</v>
      </c>
      <c r="P107" s="199"/>
    </row>
    <row r="108" spans="2:16" s="49" customFormat="1" ht="12.75">
      <c r="B108" s="24"/>
      <c r="C108" s="27"/>
      <c r="D108" s="27">
        <v>4170</v>
      </c>
      <c r="E108" s="28" t="s">
        <v>63</v>
      </c>
      <c r="F108" s="42">
        <v>3600</v>
      </c>
      <c r="G108" s="82"/>
      <c r="H108" s="82"/>
      <c r="I108" s="82"/>
      <c r="J108" s="82"/>
      <c r="K108" s="82"/>
      <c r="L108" s="82"/>
      <c r="M108" s="82"/>
      <c r="N108" s="82"/>
      <c r="O108" s="128">
        <f t="shared" si="32"/>
        <v>3600</v>
      </c>
      <c r="P108" s="199"/>
    </row>
    <row r="109" spans="2:16" s="49" customFormat="1" ht="12.75">
      <c r="B109" s="24"/>
      <c r="C109" s="27"/>
      <c r="D109" s="27">
        <v>4210</v>
      </c>
      <c r="E109" s="28" t="s">
        <v>39</v>
      </c>
      <c r="F109" s="42">
        <v>30700</v>
      </c>
      <c r="G109" s="82"/>
      <c r="H109" s="82"/>
      <c r="I109" s="82"/>
      <c r="J109" s="82"/>
      <c r="K109" s="82"/>
      <c r="L109" s="82"/>
      <c r="M109" s="82"/>
      <c r="N109" s="82"/>
      <c r="O109" s="128">
        <f t="shared" si="32"/>
        <v>30700</v>
      </c>
      <c r="P109" s="199"/>
    </row>
    <row r="110" spans="2:16" s="49" customFormat="1" ht="12.75">
      <c r="B110" s="24"/>
      <c r="C110" s="27"/>
      <c r="D110" s="27">
        <v>4260</v>
      </c>
      <c r="E110" s="28" t="s">
        <v>59</v>
      </c>
      <c r="F110" s="42">
        <v>7000</v>
      </c>
      <c r="G110" s="82"/>
      <c r="H110" s="82"/>
      <c r="I110" s="82"/>
      <c r="J110" s="82"/>
      <c r="K110" s="82"/>
      <c r="L110" s="82"/>
      <c r="M110" s="82"/>
      <c r="N110" s="82"/>
      <c r="O110" s="128">
        <f t="shared" si="32"/>
        <v>7000</v>
      </c>
      <c r="P110" s="199"/>
    </row>
    <row r="111" spans="2:16" s="49" customFormat="1" ht="12.75">
      <c r="B111" s="24"/>
      <c r="C111" s="27"/>
      <c r="D111" s="27">
        <v>4270</v>
      </c>
      <c r="E111" s="28" t="s">
        <v>71</v>
      </c>
      <c r="F111" s="42">
        <v>28000</v>
      </c>
      <c r="G111" s="82"/>
      <c r="H111" s="82"/>
      <c r="I111" s="82"/>
      <c r="J111" s="82"/>
      <c r="K111" s="82"/>
      <c r="L111" s="82"/>
      <c r="M111" s="82"/>
      <c r="N111" s="82"/>
      <c r="O111" s="128">
        <f t="shared" si="32"/>
        <v>28000</v>
      </c>
      <c r="P111" s="199"/>
    </row>
    <row r="112" spans="2:16" s="49" customFormat="1" ht="12.75">
      <c r="B112" s="24"/>
      <c r="C112" s="27"/>
      <c r="D112" s="27">
        <v>4280</v>
      </c>
      <c r="E112" s="28" t="s">
        <v>64</v>
      </c>
      <c r="F112" s="42">
        <v>3000</v>
      </c>
      <c r="G112" s="82"/>
      <c r="H112" s="82"/>
      <c r="I112" s="82"/>
      <c r="J112" s="82"/>
      <c r="K112" s="82"/>
      <c r="L112" s="82"/>
      <c r="M112" s="82"/>
      <c r="N112" s="82"/>
      <c r="O112" s="128">
        <f t="shared" si="32"/>
        <v>3000</v>
      </c>
      <c r="P112" s="199"/>
    </row>
    <row r="113" spans="2:16" s="49" customFormat="1" ht="12.75">
      <c r="B113" s="24"/>
      <c r="C113" s="27"/>
      <c r="D113" s="27">
        <v>4300</v>
      </c>
      <c r="E113" s="28" t="s">
        <v>41</v>
      </c>
      <c r="F113" s="42">
        <v>7000</v>
      </c>
      <c r="G113" s="82"/>
      <c r="H113" s="82"/>
      <c r="I113" s="82"/>
      <c r="J113" s="82"/>
      <c r="K113" s="82"/>
      <c r="L113" s="82"/>
      <c r="M113" s="82"/>
      <c r="N113" s="82"/>
      <c r="O113" s="128">
        <f t="shared" si="32"/>
        <v>7000</v>
      </c>
      <c r="P113" s="199"/>
    </row>
    <row r="114" spans="2:16" s="49" customFormat="1" ht="41.25" customHeight="1">
      <c r="B114" s="24"/>
      <c r="C114" s="27"/>
      <c r="D114" s="27">
        <v>4360</v>
      </c>
      <c r="E114" s="28" t="s">
        <v>66</v>
      </c>
      <c r="F114" s="42">
        <v>200</v>
      </c>
      <c r="G114" s="82"/>
      <c r="H114" s="82"/>
      <c r="I114" s="82"/>
      <c r="J114" s="82"/>
      <c r="K114" s="82"/>
      <c r="L114" s="82"/>
      <c r="M114" s="82"/>
      <c r="N114" s="82"/>
      <c r="O114" s="128">
        <f t="shared" si="32"/>
        <v>200</v>
      </c>
      <c r="P114" s="199"/>
    </row>
    <row r="115" spans="2:16" s="49" customFormat="1" ht="12.75">
      <c r="B115" s="24"/>
      <c r="C115" s="27"/>
      <c r="D115" s="27">
        <v>4410</v>
      </c>
      <c r="E115" s="28" t="s">
        <v>60</v>
      </c>
      <c r="F115" s="42">
        <v>500</v>
      </c>
      <c r="G115" s="82"/>
      <c r="H115" s="82"/>
      <c r="I115" s="82"/>
      <c r="J115" s="82"/>
      <c r="K115" s="82"/>
      <c r="L115" s="82"/>
      <c r="M115" s="82"/>
      <c r="N115" s="82"/>
      <c r="O115" s="128">
        <f t="shared" si="32"/>
        <v>500</v>
      </c>
      <c r="P115" s="199"/>
    </row>
    <row r="116" spans="2:16" s="49" customFormat="1" ht="12.75">
      <c r="B116" s="24"/>
      <c r="C116" s="27"/>
      <c r="D116" s="27">
        <v>4430</v>
      </c>
      <c r="E116" s="28" t="s">
        <v>46</v>
      </c>
      <c r="F116" s="42">
        <v>14000</v>
      </c>
      <c r="G116" s="82"/>
      <c r="H116" s="82"/>
      <c r="I116" s="82"/>
      <c r="J116" s="82"/>
      <c r="K116" s="82"/>
      <c r="L116" s="82"/>
      <c r="M116" s="82"/>
      <c r="N116" s="82"/>
      <c r="O116" s="128">
        <f t="shared" si="32"/>
        <v>14000</v>
      </c>
      <c r="P116" s="199"/>
    </row>
    <row r="117" spans="2:16" s="49" customFormat="1" ht="76.5">
      <c r="B117" s="24"/>
      <c r="C117" s="14"/>
      <c r="D117" s="27">
        <v>6230</v>
      </c>
      <c r="E117" s="28" t="s">
        <v>74</v>
      </c>
      <c r="F117" s="42">
        <v>20000</v>
      </c>
      <c r="G117" s="230">
        <v>-5000</v>
      </c>
      <c r="H117" s="82"/>
      <c r="I117" s="82"/>
      <c r="J117" s="82"/>
      <c r="K117" s="82"/>
      <c r="L117" s="82"/>
      <c r="M117" s="82"/>
      <c r="N117" s="82"/>
      <c r="O117" s="128">
        <f t="shared" si="32"/>
        <v>15000</v>
      </c>
      <c r="P117" s="222" t="s">
        <v>278</v>
      </c>
    </row>
    <row r="118" spans="2:16" s="49" customFormat="1" ht="12.75">
      <c r="B118" s="24"/>
      <c r="C118" s="14">
        <v>75414</v>
      </c>
      <c r="D118" s="14"/>
      <c r="E118" s="17" t="s">
        <v>75</v>
      </c>
      <c r="F118" s="57">
        <f>SUM(F119:F122)</f>
        <v>2500</v>
      </c>
      <c r="G118" s="58">
        <f>SUM(G119:G122)</f>
        <v>0</v>
      </c>
      <c r="H118" s="58">
        <f aca="true" t="shared" si="33" ref="H118:N118">SUM(H119:H122)</f>
        <v>0</v>
      </c>
      <c r="I118" s="58">
        <f t="shared" si="33"/>
        <v>0</v>
      </c>
      <c r="J118" s="58">
        <f t="shared" si="33"/>
        <v>0</v>
      </c>
      <c r="K118" s="58">
        <f t="shared" si="33"/>
        <v>0</v>
      </c>
      <c r="L118" s="58">
        <f t="shared" si="33"/>
        <v>0</v>
      </c>
      <c r="M118" s="58">
        <f t="shared" si="33"/>
        <v>0</v>
      </c>
      <c r="N118" s="58">
        <f t="shared" si="33"/>
        <v>0</v>
      </c>
      <c r="O118" s="162">
        <f>SUM(O119:O122)</f>
        <v>2500</v>
      </c>
      <c r="P118" s="219"/>
    </row>
    <row r="119" spans="2:16" s="49" customFormat="1" ht="12.75" customHeight="1">
      <c r="B119" s="24"/>
      <c r="C119" s="27"/>
      <c r="D119" s="27">
        <v>4170</v>
      </c>
      <c r="E119" s="28" t="s">
        <v>63</v>
      </c>
      <c r="F119" s="42">
        <v>600</v>
      </c>
      <c r="G119" s="82"/>
      <c r="H119" s="82"/>
      <c r="I119" s="82"/>
      <c r="J119" s="82"/>
      <c r="K119" s="82"/>
      <c r="L119" s="82"/>
      <c r="M119" s="82"/>
      <c r="N119" s="82"/>
      <c r="O119" s="128">
        <f>F119+G119+H119+I119+J119+K119+L119+M119+N119</f>
        <v>600</v>
      </c>
      <c r="P119" s="199"/>
    </row>
    <row r="120" spans="2:16" s="49" customFormat="1" ht="12.75">
      <c r="B120" s="24"/>
      <c r="C120" s="27"/>
      <c r="D120" s="27">
        <v>4210</v>
      </c>
      <c r="E120" s="28" t="s">
        <v>39</v>
      </c>
      <c r="F120" s="42">
        <v>800</v>
      </c>
      <c r="G120" s="82"/>
      <c r="H120" s="82"/>
      <c r="I120" s="82"/>
      <c r="J120" s="82"/>
      <c r="K120" s="82"/>
      <c r="L120" s="82"/>
      <c r="M120" s="82"/>
      <c r="N120" s="82"/>
      <c r="O120" s="128">
        <f>F120+G120+H120+I120+J120+K120+L120+M120+N120</f>
        <v>800</v>
      </c>
      <c r="P120" s="199"/>
    </row>
    <row r="121" spans="2:16" s="49" customFormat="1" ht="12.75">
      <c r="B121" s="24"/>
      <c r="C121" s="27"/>
      <c r="D121" s="27">
        <v>4300</v>
      </c>
      <c r="E121" s="28" t="s">
        <v>41</v>
      </c>
      <c r="F121" s="42">
        <v>1000</v>
      </c>
      <c r="G121" s="82"/>
      <c r="H121" s="82"/>
      <c r="I121" s="82"/>
      <c r="J121" s="82"/>
      <c r="K121" s="82"/>
      <c r="L121" s="82"/>
      <c r="M121" s="82"/>
      <c r="N121" s="82"/>
      <c r="O121" s="128">
        <f>F121+G121+H121+I121+J121+K121+L121+M121+N121</f>
        <v>1000</v>
      </c>
      <c r="P121" s="199"/>
    </row>
    <row r="122" spans="2:16" s="49" customFormat="1" ht="12.75">
      <c r="B122" s="24"/>
      <c r="C122" s="27"/>
      <c r="D122" s="27">
        <v>4410</v>
      </c>
      <c r="E122" s="28" t="s">
        <v>60</v>
      </c>
      <c r="F122" s="42">
        <v>100</v>
      </c>
      <c r="G122" s="82"/>
      <c r="H122" s="82"/>
      <c r="I122" s="82"/>
      <c r="J122" s="82"/>
      <c r="K122" s="82"/>
      <c r="L122" s="82"/>
      <c r="M122" s="82"/>
      <c r="N122" s="82"/>
      <c r="O122" s="128">
        <f>F122+G122+H122+I122+J122+K122+L122+M122+N122</f>
        <v>100</v>
      </c>
      <c r="P122" s="199"/>
    </row>
    <row r="123" spans="2:16" s="49" customFormat="1" ht="12.75">
      <c r="B123" s="24"/>
      <c r="C123" s="14">
        <v>75421</v>
      </c>
      <c r="D123" s="14"/>
      <c r="E123" s="17" t="s">
        <v>206</v>
      </c>
      <c r="F123" s="57">
        <f>SUM(F124:F127)</f>
        <v>2000</v>
      </c>
      <c r="G123" s="58">
        <f>SUM(G124:G127)</f>
        <v>0</v>
      </c>
      <c r="H123" s="58">
        <f aca="true" t="shared" si="34" ref="H123:N123">SUM(H124:H124)</f>
        <v>0</v>
      </c>
      <c r="I123" s="58">
        <f t="shared" si="34"/>
        <v>0</v>
      </c>
      <c r="J123" s="58">
        <f t="shared" si="34"/>
        <v>0</v>
      </c>
      <c r="K123" s="58">
        <f>SUM(K124:K127)</f>
        <v>0</v>
      </c>
      <c r="L123" s="58">
        <f t="shared" si="34"/>
        <v>0</v>
      </c>
      <c r="M123" s="58">
        <f t="shared" si="34"/>
        <v>0</v>
      </c>
      <c r="N123" s="58">
        <f t="shared" si="34"/>
        <v>0</v>
      </c>
      <c r="O123" s="162">
        <f>SUM(O124:O127)</f>
        <v>2000</v>
      </c>
      <c r="P123" s="219"/>
    </row>
    <row r="124" spans="2:16" s="49" customFormat="1" ht="22.5" customHeight="1">
      <c r="B124" s="24"/>
      <c r="C124" s="27"/>
      <c r="D124" s="27">
        <v>4810</v>
      </c>
      <c r="E124" s="28" t="s">
        <v>207</v>
      </c>
      <c r="F124" s="42">
        <v>2000</v>
      </c>
      <c r="G124" s="230">
        <v>-2000</v>
      </c>
      <c r="H124" s="82"/>
      <c r="I124" s="82"/>
      <c r="J124" s="82"/>
      <c r="K124" s="82"/>
      <c r="L124" s="82"/>
      <c r="M124" s="82"/>
      <c r="N124" s="82"/>
      <c r="O124" s="128">
        <f>F124+G124+H124+I124+J124+K124+L124+M124+N124</f>
        <v>0</v>
      </c>
      <c r="P124" s="446" t="s">
        <v>279</v>
      </c>
    </row>
    <row r="125" spans="2:16" s="49" customFormat="1" ht="12.75" customHeight="1">
      <c r="B125" s="24"/>
      <c r="C125" s="27"/>
      <c r="D125" s="27">
        <v>4270</v>
      </c>
      <c r="E125" s="28" t="s">
        <v>40</v>
      </c>
      <c r="F125" s="42"/>
      <c r="G125" s="82">
        <v>500</v>
      </c>
      <c r="H125" s="82"/>
      <c r="I125" s="82"/>
      <c r="J125" s="82"/>
      <c r="K125" s="82"/>
      <c r="L125" s="82"/>
      <c r="M125" s="82"/>
      <c r="N125" s="82"/>
      <c r="O125" s="128">
        <f>F125+G125+H125+I125+J125+K125+L125+M125+N125</f>
        <v>500</v>
      </c>
      <c r="P125" s="448"/>
    </row>
    <row r="126" spans="2:16" s="49" customFormat="1" ht="12.75" customHeight="1">
      <c r="B126" s="24"/>
      <c r="C126" s="27"/>
      <c r="D126" s="27">
        <v>4300</v>
      </c>
      <c r="E126" s="28" t="s">
        <v>41</v>
      </c>
      <c r="F126" s="42"/>
      <c r="G126" s="82">
        <v>500</v>
      </c>
      <c r="H126" s="82"/>
      <c r="I126" s="82"/>
      <c r="J126" s="82"/>
      <c r="K126" s="82"/>
      <c r="L126" s="82"/>
      <c r="M126" s="82"/>
      <c r="N126" s="82"/>
      <c r="O126" s="128">
        <f>F126+G126+H126+I126+J126+K126+L126+M126+N126</f>
        <v>500</v>
      </c>
      <c r="P126" s="448"/>
    </row>
    <row r="127" spans="2:16" s="49" customFormat="1" ht="38.25" customHeight="1">
      <c r="B127" s="24"/>
      <c r="C127" s="27"/>
      <c r="D127" s="27">
        <v>4360</v>
      </c>
      <c r="E127" s="28" t="s">
        <v>66</v>
      </c>
      <c r="F127" s="42"/>
      <c r="G127" s="82">
        <v>1000</v>
      </c>
      <c r="H127" s="82"/>
      <c r="I127" s="82"/>
      <c r="J127" s="82"/>
      <c r="K127" s="82"/>
      <c r="L127" s="82"/>
      <c r="M127" s="82"/>
      <c r="N127" s="82"/>
      <c r="O127" s="128">
        <f>F127+G127+H127+I127+J127+K127+L127+M127+N127</f>
        <v>1000</v>
      </c>
      <c r="P127" s="447"/>
    </row>
    <row r="128" spans="2:16" s="49" customFormat="1" ht="38.25" hidden="1">
      <c r="B128" s="30">
        <v>756</v>
      </c>
      <c r="C128" s="31"/>
      <c r="D128" s="31"/>
      <c r="E128" s="32" t="s">
        <v>208</v>
      </c>
      <c r="F128" s="65">
        <f>F129</f>
        <v>48500</v>
      </c>
      <c r="G128" s="66">
        <f>G129</f>
        <v>0</v>
      </c>
      <c r="H128" s="66">
        <f aca="true" t="shared" si="35" ref="H128:N128">H129</f>
        <v>0</v>
      </c>
      <c r="I128" s="66">
        <f t="shared" si="35"/>
        <v>0</v>
      </c>
      <c r="J128" s="66">
        <f t="shared" si="35"/>
        <v>0</v>
      </c>
      <c r="K128" s="66">
        <f t="shared" si="35"/>
        <v>0</v>
      </c>
      <c r="L128" s="66">
        <f t="shared" si="35"/>
        <v>0</v>
      </c>
      <c r="M128" s="66">
        <f t="shared" si="35"/>
        <v>0</v>
      </c>
      <c r="N128" s="66">
        <f t="shared" si="35"/>
        <v>0</v>
      </c>
      <c r="O128" s="65">
        <f>O129</f>
        <v>48500</v>
      </c>
      <c r="P128" s="220"/>
    </row>
    <row r="129" spans="2:16" s="49" customFormat="1" ht="44.25" customHeight="1" hidden="1">
      <c r="B129" s="24"/>
      <c r="C129" s="14">
        <v>75647</v>
      </c>
      <c r="D129" s="14"/>
      <c r="E129" s="17" t="s">
        <v>209</v>
      </c>
      <c r="F129" s="57">
        <f>SUM(F130:F133)</f>
        <v>48500</v>
      </c>
      <c r="G129" s="58">
        <f>SUM(G130:G133)</f>
        <v>0</v>
      </c>
      <c r="H129" s="58">
        <f aca="true" t="shared" si="36" ref="H129:N129">SUM(H130:H133)</f>
        <v>0</v>
      </c>
      <c r="I129" s="58">
        <f t="shared" si="36"/>
        <v>0</v>
      </c>
      <c r="J129" s="58">
        <f t="shared" si="36"/>
        <v>0</v>
      </c>
      <c r="K129" s="58">
        <f t="shared" si="36"/>
        <v>0</v>
      </c>
      <c r="L129" s="58">
        <f t="shared" si="36"/>
        <v>0</v>
      </c>
      <c r="M129" s="58">
        <f t="shared" si="36"/>
        <v>0</v>
      </c>
      <c r="N129" s="58">
        <f t="shared" si="36"/>
        <v>0</v>
      </c>
      <c r="O129" s="162">
        <f>SUM(O130:O133)</f>
        <v>48500</v>
      </c>
      <c r="P129" s="219"/>
    </row>
    <row r="130" spans="2:16" s="49" customFormat="1" ht="12.75" hidden="1">
      <c r="B130" s="24"/>
      <c r="C130" s="27"/>
      <c r="D130" s="27">
        <v>4100</v>
      </c>
      <c r="E130" s="28" t="s">
        <v>210</v>
      </c>
      <c r="F130" s="42">
        <v>45000</v>
      </c>
      <c r="G130" s="82"/>
      <c r="H130" s="82"/>
      <c r="I130" s="82"/>
      <c r="J130" s="82"/>
      <c r="K130" s="82"/>
      <c r="L130" s="82"/>
      <c r="M130" s="82"/>
      <c r="N130" s="82"/>
      <c r="O130" s="128">
        <f>F130+G130+H130+I130+J130+K130+L130+M130+N130</f>
        <v>45000</v>
      </c>
      <c r="P130" s="199"/>
    </row>
    <row r="131" spans="2:16" s="49" customFormat="1" ht="12.75" hidden="1">
      <c r="B131" s="24"/>
      <c r="C131" s="27"/>
      <c r="D131" s="27">
        <v>4210</v>
      </c>
      <c r="E131" s="28" t="s">
        <v>39</v>
      </c>
      <c r="F131" s="42">
        <v>1000</v>
      </c>
      <c r="G131" s="82"/>
      <c r="H131" s="82"/>
      <c r="I131" s="82"/>
      <c r="J131" s="82"/>
      <c r="K131" s="82"/>
      <c r="L131" s="82"/>
      <c r="M131" s="82"/>
      <c r="N131" s="82"/>
      <c r="O131" s="128">
        <f>F131+G131+H131+I131+J131+K131+L131+M131+N131</f>
        <v>1000</v>
      </c>
      <c r="P131" s="199"/>
    </row>
    <row r="132" spans="2:16" s="49" customFormat="1" ht="12.75" customHeight="1" hidden="1">
      <c r="B132" s="24"/>
      <c r="C132" s="27"/>
      <c r="D132" s="27">
        <v>4300</v>
      </c>
      <c r="E132" s="28" t="s">
        <v>41</v>
      </c>
      <c r="F132" s="42"/>
      <c r="G132" s="82"/>
      <c r="H132" s="82"/>
      <c r="I132" s="82"/>
      <c r="J132" s="82"/>
      <c r="K132" s="82"/>
      <c r="L132" s="82"/>
      <c r="M132" s="82"/>
      <c r="N132" s="82"/>
      <c r="O132" s="128">
        <f>F132+G132+H132+I132+J132+K132+L132+M132+N132</f>
        <v>0</v>
      </c>
      <c r="P132" s="199"/>
    </row>
    <row r="133" spans="2:16" s="49" customFormat="1" ht="28.5" customHeight="1" hidden="1">
      <c r="B133" s="24"/>
      <c r="C133" s="27"/>
      <c r="D133" s="27">
        <v>4610</v>
      </c>
      <c r="E133" s="28" t="s">
        <v>211</v>
      </c>
      <c r="F133" s="42">
        <v>2500</v>
      </c>
      <c r="G133" s="82"/>
      <c r="H133" s="82"/>
      <c r="I133" s="82"/>
      <c r="J133" s="82"/>
      <c r="K133" s="82"/>
      <c r="L133" s="82"/>
      <c r="M133" s="82"/>
      <c r="N133" s="82"/>
      <c r="O133" s="128">
        <f>F133+G133+H133+I133+J133+K133+L133+M133+N133</f>
        <v>2500</v>
      </c>
      <c r="P133" s="199"/>
    </row>
    <row r="134" spans="2:16" s="49" customFormat="1" ht="12.75" hidden="1">
      <c r="B134" s="30">
        <v>757</v>
      </c>
      <c r="C134" s="31"/>
      <c r="D134" s="31"/>
      <c r="E134" s="32" t="s">
        <v>212</v>
      </c>
      <c r="F134" s="65">
        <f aca="true" t="shared" si="37" ref="F134:N134">F135</f>
        <v>175144</v>
      </c>
      <c r="G134" s="66">
        <f t="shared" si="37"/>
        <v>0</v>
      </c>
      <c r="H134" s="66">
        <f t="shared" si="37"/>
        <v>0</v>
      </c>
      <c r="I134" s="66">
        <f t="shared" si="37"/>
        <v>0</v>
      </c>
      <c r="J134" s="66">
        <f t="shared" si="37"/>
        <v>0</v>
      </c>
      <c r="K134" s="66">
        <f t="shared" si="37"/>
        <v>0</v>
      </c>
      <c r="L134" s="66">
        <f t="shared" si="37"/>
        <v>0</v>
      </c>
      <c r="M134" s="66">
        <f t="shared" si="37"/>
        <v>0</v>
      </c>
      <c r="N134" s="66">
        <f t="shared" si="37"/>
        <v>0</v>
      </c>
      <c r="O134" s="65">
        <f>O135</f>
        <v>175144</v>
      </c>
      <c r="P134" s="220"/>
    </row>
    <row r="135" spans="2:16" s="49" customFormat="1" ht="38.25" hidden="1">
      <c r="B135" s="24"/>
      <c r="C135" s="14">
        <v>75702</v>
      </c>
      <c r="D135" s="14"/>
      <c r="E135" s="17" t="s">
        <v>213</v>
      </c>
      <c r="F135" s="57">
        <f>SUM(F136:F136)</f>
        <v>175144</v>
      </c>
      <c r="G135" s="58">
        <f>SUM(G136:G136)</f>
        <v>0</v>
      </c>
      <c r="H135" s="58">
        <f aca="true" t="shared" si="38" ref="H135:N135">SUM(H136:H136)</f>
        <v>0</v>
      </c>
      <c r="I135" s="58">
        <f t="shared" si="38"/>
        <v>0</v>
      </c>
      <c r="J135" s="58">
        <f t="shared" si="38"/>
        <v>0</v>
      </c>
      <c r="K135" s="58">
        <f t="shared" si="38"/>
        <v>0</v>
      </c>
      <c r="L135" s="58">
        <f t="shared" si="38"/>
        <v>0</v>
      </c>
      <c r="M135" s="58">
        <f t="shared" si="38"/>
        <v>0</v>
      </c>
      <c r="N135" s="58">
        <f t="shared" si="38"/>
        <v>0</v>
      </c>
      <c r="O135" s="163">
        <f>SUM(O136:O136)</f>
        <v>175144</v>
      </c>
      <c r="P135" s="219"/>
    </row>
    <row r="136" spans="2:16" s="49" customFormat="1" ht="38.25" hidden="1">
      <c r="B136" s="24"/>
      <c r="C136" s="27"/>
      <c r="D136" s="27">
        <v>8070</v>
      </c>
      <c r="E136" s="28" t="s">
        <v>214</v>
      </c>
      <c r="F136" s="42">
        <v>175144</v>
      </c>
      <c r="G136" s="82"/>
      <c r="H136" s="82"/>
      <c r="I136" s="82"/>
      <c r="J136" s="82"/>
      <c r="K136" s="82"/>
      <c r="L136" s="82"/>
      <c r="M136" s="82"/>
      <c r="N136" s="82"/>
      <c r="O136" s="128">
        <f>F136+G136+H136+I136+J136+K136+L136+M136+N136</f>
        <v>175144</v>
      </c>
      <c r="P136" s="199"/>
    </row>
    <row r="137" spans="2:16" s="49" customFormat="1" ht="12.75">
      <c r="B137" s="30">
        <v>758</v>
      </c>
      <c r="C137" s="31"/>
      <c r="D137" s="31"/>
      <c r="E137" s="32" t="s">
        <v>28</v>
      </c>
      <c r="F137" s="65">
        <f>F138</f>
        <v>60000</v>
      </c>
      <c r="G137" s="66">
        <f>G138</f>
        <v>20000</v>
      </c>
      <c r="H137" s="66">
        <f aca="true" t="shared" si="39" ref="H137:N137">H138</f>
        <v>0</v>
      </c>
      <c r="I137" s="66">
        <f t="shared" si="39"/>
        <v>0</v>
      </c>
      <c r="J137" s="66">
        <f t="shared" si="39"/>
        <v>0</v>
      </c>
      <c r="K137" s="66">
        <f t="shared" si="39"/>
        <v>0</v>
      </c>
      <c r="L137" s="66">
        <f t="shared" si="39"/>
        <v>0</v>
      </c>
      <c r="M137" s="66">
        <f t="shared" si="39"/>
        <v>0</v>
      </c>
      <c r="N137" s="66">
        <f t="shared" si="39"/>
        <v>0</v>
      </c>
      <c r="O137" s="65">
        <f>O138</f>
        <v>80000</v>
      </c>
      <c r="P137" s="220"/>
    </row>
    <row r="138" spans="2:16" s="49" customFormat="1" ht="12.75" customHeight="1">
      <c r="B138" s="24"/>
      <c r="C138" s="14">
        <v>75818</v>
      </c>
      <c r="D138" s="14"/>
      <c r="E138" s="17" t="s">
        <v>215</v>
      </c>
      <c r="F138" s="57">
        <f aca="true" t="shared" si="40" ref="F138:N138">SUM(F139:F139)</f>
        <v>60000</v>
      </c>
      <c r="G138" s="58">
        <f t="shared" si="40"/>
        <v>20000</v>
      </c>
      <c r="H138" s="58">
        <f t="shared" si="40"/>
        <v>0</v>
      </c>
      <c r="I138" s="58">
        <f t="shared" si="40"/>
        <v>0</v>
      </c>
      <c r="J138" s="58">
        <f t="shared" si="40"/>
        <v>0</v>
      </c>
      <c r="K138" s="58">
        <f t="shared" si="40"/>
        <v>0</v>
      </c>
      <c r="L138" s="58">
        <f t="shared" si="40"/>
        <v>0</v>
      </c>
      <c r="M138" s="58">
        <f t="shared" si="40"/>
        <v>0</v>
      </c>
      <c r="N138" s="58">
        <f t="shared" si="40"/>
        <v>0</v>
      </c>
      <c r="O138" s="163">
        <f>SUM(O139:O139)</f>
        <v>80000</v>
      </c>
      <c r="P138" s="219"/>
    </row>
    <row r="139" spans="2:16" s="49" customFormat="1" ht="12.75">
      <c r="B139" s="24"/>
      <c r="C139" s="27"/>
      <c r="D139" s="27">
        <v>4810</v>
      </c>
      <c r="E139" s="28" t="s">
        <v>207</v>
      </c>
      <c r="F139" s="42">
        <v>60000</v>
      </c>
      <c r="G139" s="82">
        <v>20000</v>
      </c>
      <c r="H139" s="82"/>
      <c r="I139" s="82"/>
      <c r="J139" s="82"/>
      <c r="K139" s="82"/>
      <c r="L139" s="82"/>
      <c r="M139" s="82"/>
      <c r="N139" s="82"/>
      <c r="O139" s="128">
        <f>F139+G139+H139+I139+J139+K139+L139+M139+N139</f>
        <v>80000</v>
      </c>
      <c r="P139" s="199" t="s">
        <v>280</v>
      </c>
    </row>
    <row r="140" spans="2:16" s="49" customFormat="1" ht="12.75">
      <c r="B140" s="30">
        <v>801</v>
      </c>
      <c r="C140" s="31"/>
      <c r="D140" s="31"/>
      <c r="E140" s="32" t="s">
        <v>29</v>
      </c>
      <c r="F140" s="65">
        <f>F141+F184+F208+F231+F240+F272+F256+F165+F260</f>
        <v>8148943</v>
      </c>
      <c r="G140" s="254">
        <f aca="true" t="shared" si="41" ref="G140:N140">G141+G184+G208+G231+G240+G272+G256+G165</f>
        <v>-339700</v>
      </c>
      <c r="H140" s="66">
        <f t="shared" si="41"/>
        <v>0</v>
      </c>
      <c r="I140" s="66">
        <f t="shared" si="41"/>
        <v>0</v>
      </c>
      <c r="J140" s="66">
        <f t="shared" si="41"/>
        <v>0</v>
      </c>
      <c r="K140" s="66">
        <f t="shared" si="41"/>
        <v>0</v>
      </c>
      <c r="L140" s="66">
        <f t="shared" si="41"/>
        <v>0</v>
      </c>
      <c r="M140" s="66">
        <f t="shared" si="41"/>
        <v>0</v>
      </c>
      <c r="N140" s="66">
        <f t="shared" si="41"/>
        <v>0</v>
      </c>
      <c r="O140" s="65">
        <f>O141+O184+O208+O231+O240+O272+O256+O165+O260</f>
        <v>7809243</v>
      </c>
      <c r="P140" s="220"/>
    </row>
    <row r="141" spans="2:16" s="49" customFormat="1" ht="12.75">
      <c r="B141" s="24"/>
      <c r="C141" s="14">
        <v>80101</v>
      </c>
      <c r="D141" s="14"/>
      <c r="E141" s="17" t="s">
        <v>30</v>
      </c>
      <c r="F141" s="57">
        <f>SUM(F142:F164)</f>
        <v>3872200</v>
      </c>
      <c r="G141" s="252">
        <f>SUM(G142:G164)</f>
        <v>-222400</v>
      </c>
      <c r="H141" s="58">
        <f aca="true" t="shared" si="42" ref="H141:N141">SUM(H142:H164)</f>
        <v>0</v>
      </c>
      <c r="I141" s="58">
        <f t="shared" si="42"/>
        <v>0</v>
      </c>
      <c r="J141" s="58">
        <f t="shared" si="42"/>
        <v>0</v>
      </c>
      <c r="K141" s="58">
        <f t="shared" si="42"/>
        <v>0</v>
      </c>
      <c r="L141" s="58">
        <f t="shared" si="42"/>
        <v>0</v>
      </c>
      <c r="M141" s="58">
        <f t="shared" si="42"/>
        <v>0</v>
      </c>
      <c r="N141" s="58">
        <f t="shared" si="42"/>
        <v>0</v>
      </c>
      <c r="O141" s="162">
        <f>SUM(O142:O164)</f>
        <v>3649800</v>
      </c>
      <c r="P141" s="219"/>
    </row>
    <row r="142" spans="2:16" s="49" customFormat="1" ht="25.5">
      <c r="B142" s="24"/>
      <c r="C142" s="27"/>
      <c r="D142" s="27">
        <v>3020</v>
      </c>
      <c r="E142" s="28" t="s">
        <v>61</v>
      </c>
      <c r="F142" s="42">
        <v>134350</v>
      </c>
      <c r="G142" s="230">
        <v>-5000</v>
      </c>
      <c r="H142" s="82"/>
      <c r="I142" s="82"/>
      <c r="J142" s="82"/>
      <c r="K142" s="82"/>
      <c r="L142" s="82"/>
      <c r="M142" s="82"/>
      <c r="N142" s="82"/>
      <c r="O142" s="128">
        <f aca="true" t="shared" si="43" ref="O142:O164">F142+G142+H142+I142+J142+K142+L142+M142+N142</f>
        <v>129350</v>
      </c>
      <c r="P142" s="446" t="s">
        <v>281</v>
      </c>
    </row>
    <row r="143" spans="2:16" s="49" customFormat="1" ht="12.75" customHeight="1" hidden="1">
      <c r="B143" s="24"/>
      <c r="C143" s="27"/>
      <c r="D143" s="27">
        <v>3260</v>
      </c>
      <c r="E143" s="28" t="s">
        <v>195</v>
      </c>
      <c r="F143" s="42"/>
      <c r="G143" s="230"/>
      <c r="H143" s="82"/>
      <c r="I143" s="82"/>
      <c r="J143" s="82"/>
      <c r="K143" s="82"/>
      <c r="L143" s="82"/>
      <c r="M143" s="82"/>
      <c r="N143" s="82"/>
      <c r="O143" s="128">
        <f t="shared" si="43"/>
        <v>0</v>
      </c>
      <c r="P143" s="448"/>
    </row>
    <row r="144" spans="2:16" s="49" customFormat="1" ht="12.75">
      <c r="B144" s="24"/>
      <c r="C144" s="27"/>
      <c r="D144" s="27">
        <v>4010</v>
      </c>
      <c r="E144" s="28" t="s">
        <v>57</v>
      </c>
      <c r="F144" s="42">
        <v>2258000</v>
      </c>
      <c r="G144" s="230">
        <v>-20000</v>
      </c>
      <c r="H144" s="82"/>
      <c r="I144" s="82"/>
      <c r="J144" s="82"/>
      <c r="K144" s="82"/>
      <c r="L144" s="82"/>
      <c r="M144" s="82"/>
      <c r="N144" s="82"/>
      <c r="O144" s="128">
        <f t="shared" si="43"/>
        <v>2238000</v>
      </c>
      <c r="P144" s="448"/>
    </row>
    <row r="145" spans="2:16" s="49" customFormat="1" ht="12.75">
      <c r="B145" s="24"/>
      <c r="C145" s="27"/>
      <c r="D145" s="27">
        <v>4040</v>
      </c>
      <c r="E145" s="28" t="s">
        <v>62</v>
      </c>
      <c r="F145" s="42">
        <v>174200</v>
      </c>
      <c r="G145" s="230"/>
      <c r="H145" s="82"/>
      <c r="I145" s="82"/>
      <c r="J145" s="82"/>
      <c r="K145" s="82"/>
      <c r="L145" s="82"/>
      <c r="M145" s="82"/>
      <c r="N145" s="82"/>
      <c r="O145" s="128">
        <f t="shared" si="43"/>
        <v>174200</v>
      </c>
      <c r="P145" s="448"/>
    </row>
    <row r="146" spans="2:16" s="49" customFormat="1" ht="12.75">
      <c r="B146" s="24"/>
      <c r="C146" s="27"/>
      <c r="D146" s="27">
        <v>4110</v>
      </c>
      <c r="E146" s="28" t="s">
        <v>58</v>
      </c>
      <c r="F146" s="42">
        <v>375800</v>
      </c>
      <c r="G146" s="230"/>
      <c r="H146" s="82"/>
      <c r="I146" s="82"/>
      <c r="J146" s="82"/>
      <c r="K146" s="82"/>
      <c r="L146" s="82"/>
      <c r="M146" s="82"/>
      <c r="N146" s="82"/>
      <c r="O146" s="128">
        <f t="shared" si="43"/>
        <v>375800</v>
      </c>
      <c r="P146" s="448"/>
    </row>
    <row r="147" spans="2:16" s="49" customFormat="1" ht="12.75">
      <c r="B147" s="24"/>
      <c r="C147" s="27"/>
      <c r="D147" s="27">
        <v>4120</v>
      </c>
      <c r="E147" s="28" t="s">
        <v>146</v>
      </c>
      <c r="F147" s="42">
        <v>62450</v>
      </c>
      <c r="G147" s="230"/>
      <c r="H147" s="82"/>
      <c r="I147" s="82"/>
      <c r="J147" s="82"/>
      <c r="K147" s="82"/>
      <c r="L147" s="82"/>
      <c r="M147" s="82"/>
      <c r="N147" s="82"/>
      <c r="O147" s="128">
        <f t="shared" si="43"/>
        <v>62450</v>
      </c>
      <c r="P147" s="448"/>
    </row>
    <row r="148" spans="2:16" s="49" customFormat="1" ht="12.75">
      <c r="B148" s="24"/>
      <c r="C148" s="27"/>
      <c r="D148" s="27">
        <v>4210</v>
      </c>
      <c r="E148" s="28" t="s">
        <v>39</v>
      </c>
      <c r="F148" s="42">
        <v>258000</v>
      </c>
      <c r="G148" s="230">
        <v>-42000</v>
      </c>
      <c r="H148" s="82"/>
      <c r="I148" s="82"/>
      <c r="J148" s="82"/>
      <c r="K148" s="82"/>
      <c r="L148" s="82"/>
      <c r="M148" s="82"/>
      <c r="N148" s="82"/>
      <c r="O148" s="128">
        <f t="shared" si="43"/>
        <v>216000</v>
      </c>
      <c r="P148" s="448"/>
    </row>
    <row r="149" spans="2:16" s="49" customFormat="1" ht="12.75">
      <c r="B149" s="24"/>
      <c r="C149" s="27"/>
      <c r="D149" s="27">
        <v>4240</v>
      </c>
      <c r="E149" s="28" t="s">
        <v>149</v>
      </c>
      <c r="F149" s="42">
        <v>8000</v>
      </c>
      <c r="G149" s="230">
        <v>-7200</v>
      </c>
      <c r="H149" s="82"/>
      <c r="I149" s="82"/>
      <c r="J149" s="82"/>
      <c r="K149" s="82"/>
      <c r="L149" s="82"/>
      <c r="M149" s="82"/>
      <c r="N149" s="82"/>
      <c r="O149" s="128">
        <f t="shared" si="43"/>
        <v>800</v>
      </c>
      <c r="P149" s="448"/>
    </row>
    <row r="150" spans="2:16" s="49" customFormat="1" ht="12.75">
      <c r="B150" s="24"/>
      <c r="C150" s="27"/>
      <c r="D150" s="27">
        <v>4260</v>
      </c>
      <c r="E150" s="28" t="s">
        <v>59</v>
      </c>
      <c r="F150" s="42">
        <v>140800</v>
      </c>
      <c r="G150" s="230"/>
      <c r="H150" s="82"/>
      <c r="I150" s="82"/>
      <c r="J150" s="82"/>
      <c r="K150" s="82"/>
      <c r="L150" s="82"/>
      <c r="M150" s="82"/>
      <c r="N150" s="82"/>
      <c r="O150" s="128">
        <f t="shared" si="43"/>
        <v>140800</v>
      </c>
      <c r="P150" s="448"/>
    </row>
    <row r="151" spans="2:16" s="49" customFormat="1" ht="12.75">
      <c r="B151" s="24"/>
      <c r="C151" s="27"/>
      <c r="D151" s="27">
        <v>4270</v>
      </c>
      <c r="E151" s="28" t="s">
        <v>40</v>
      </c>
      <c r="F151" s="42">
        <v>110000</v>
      </c>
      <c r="G151" s="230">
        <v>-74500</v>
      </c>
      <c r="H151" s="82"/>
      <c r="I151" s="82"/>
      <c r="J151" s="82"/>
      <c r="K151" s="82"/>
      <c r="L151" s="82"/>
      <c r="M151" s="82"/>
      <c r="N151" s="82"/>
      <c r="O151" s="128">
        <f t="shared" si="43"/>
        <v>35500</v>
      </c>
      <c r="P151" s="448"/>
    </row>
    <row r="152" spans="2:16" s="49" customFormat="1" ht="12.75">
      <c r="B152" s="24"/>
      <c r="C152" s="27"/>
      <c r="D152" s="27">
        <v>4280</v>
      </c>
      <c r="E152" s="28" t="s">
        <v>64</v>
      </c>
      <c r="F152" s="42">
        <v>11100</v>
      </c>
      <c r="G152" s="230"/>
      <c r="H152" s="82"/>
      <c r="I152" s="82"/>
      <c r="J152" s="82"/>
      <c r="K152" s="82"/>
      <c r="L152" s="82"/>
      <c r="M152" s="82"/>
      <c r="N152" s="82"/>
      <c r="O152" s="128">
        <f t="shared" si="43"/>
        <v>11100</v>
      </c>
      <c r="P152" s="448"/>
    </row>
    <row r="153" spans="2:16" s="49" customFormat="1" ht="12.75">
      <c r="B153" s="24"/>
      <c r="C153" s="27"/>
      <c r="D153" s="27">
        <v>4300</v>
      </c>
      <c r="E153" s="28" t="s">
        <v>41</v>
      </c>
      <c r="F153" s="42">
        <v>62000</v>
      </c>
      <c r="G153" s="230"/>
      <c r="H153" s="82"/>
      <c r="I153" s="82"/>
      <c r="J153" s="82"/>
      <c r="K153" s="82"/>
      <c r="L153" s="82"/>
      <c r="M153" s="82"/>
      <c r="N153" s="82"/>
      <c r="O153" s="128">
        <f t="shared" si="43"/>
        <v>62000</v>
      </c>
      <c r="P153" s="448"/>
    </row>
    <row r="154" spans="2:16" s="49" customFormat="1" ht="12.75">
      <c r="B154" s="24"/>
      <c r="C154" s="27"/>
      <c r="D154" s="27">
        <v>4350</v>
      </c>
      <c r="E154" s="28" t="s">
        <v>65</v>
      </c>
      <c r="F154" s="42">
        <v>9000</v>
      </c>
      <c r="G154" s="230"/>
      <c r="H154" s="82"/>
      <c r="I154" s="82"/>
      <c r="J154" s="82"/>
      <c r="K154" s="82"/>
      <c r="L154" s="82"/>
      <c r="M154" s="82"/>
      <c r="N154" s="82"/>
      <c r="O154" s="128">
        <f t="shared" si="43"/>
        <v>9000</v>
      </c>
      <c r="P154" s="448"/>
    </row>
    <row r="155" spans="2:16" s="49" customFormat="1" ht="38.25">
      <c r="B155" s="24"/>
      <c r="C155" s="27"/>
      <c r="D155" s="27">
        <v>4360</v>
      </c>
      <c r="E155" s="28" t="s">
        <v>66</v>
      </c>
      <c r="F155" s="42">
        <v>5400</v>
      </c>
      <c r="G155" s="230"/>
      <c r="H155" s="82"/>
      <c r="I155" s="82"/>
      <c r="J155" s="82"/>
      <c r="K155" s="82"/>
      <c r="L155" s="82"/>
      <c r="M155" s="82"/>
      <c r="N155" s="82"/>
      <c r="O155" s="128">
        <f t="shared" si="43"/>
        <v>5400</v>
      </c>
      <c r="P155" s="448"/>
    </row>
    <row r="156" spans="2:16" s="49" customFormat="1" ht="38.25">
      <c r="B156" s="24"/>
      <c r="C156" s="27"/>
      <c r="D156" s="27">
        <v>4370</v>
      </c>
      <c r="E156" s="28" t="s">
        <v>67</v>
      </c>
      <c r="F156" s="42">
        <v>11700</v>
      </c>
      <c r="G156" s="230"/>
      <c r="H156" s="82"/>
      <c r="I156" s="82"/>
      <c r="J156" s="82"/>
      <c r="K156" s="82"/>
      <c r="L156" s="82"/>
      <c r="M156" s="82"/>
      <c r="N156" s="82"/>
      <c r="O156" s="128">
        <f t="shared" si="43"/>
        <v>11700</v>
      </c>
      <c r="P156" s="448"/>
    </row>
    <row r="157" spans="2:16" s="49" customFormat="1" ht="12.75">
      <c r="B157" s="24"/>
      <c r="C157" s="27"/>
      <c r="D157" s="27">
        <v>4410</v>
      </c>
      <c r="E157" s="28" t="s">
        <v>60</v>
      </c>
      <c r="F157" s="42">
        <v>8000</v>
      </c>
      <c r="G157" s="230"/>
      <c r="H157" s="82"/>
      <c r="I157" s="82"/>
      <c r="J157" s="82"/>
      <c r="K157" s="82"/>
      <c r="L157" s="82"/>
      <c r="M157" s="82"/>
      <c r="N157" s="82"/>
      <c r="O157" s="128">
        <f t="shared" si="43"/>
        <v>8000</v>
      </c>
      <c r="P157" s="448"/>
    </row>
    <row r="158" spans="2:16" s="49" customFormat="1" ht="12.75">
      <c r="B158" s="24"/>
      <c r="C158" s="27"/>
      <c r="D158" s="27">
        <v>4420</v>
      </c>
      <c r="E158" s="28" t="s">
        <v>205</v>
      </c>
      <c r="F158" s="42">
        <v>500</v>
      </c>
      <c r="G158" s="230"/>
      <c r="H158" s="82"/>
      <c r="I158" s="82"/>
      <c r="J158" s="82"/>
      <c r="K158" s="82"/>
      <c r="L158" s="82"/>
      <c r="M158" s="82"/>
      <c r="N158" s="82"/>
      <c r="O158" s="128">
        <f t="shared" si="43"/>
        <v>500</v>
      </c>
      <c r="P158" s="448"/>
    </row>
    <row r="159" spans="2:16" s="49" customFormat="1" ht="12.75">
      <c r="B159" s="24"/>
      <c r="C159" s="27"/>
      <c r="D159" s="27">
        <v>4430</v>
      </c>
      <c r="E159" s="28" t="s">
        <v>150</v>
      </c>
      <c r="F159" s="42">
        <v>5900</v>
      </c>
      <c r="G159" s="230"/>
      <c r="H159" s="82"/>
      <c r="I159" s="82"/>
      <c r="J159" s="82"/>
      <c r="K159" s="82"/>
      <c r="L159" s="82"/>
      <c r="M159" s="82"/>
      <c r="N159" s="82"/>
      <c r="O159" s="128">
        <f t="shared" si="43"/>
        <v>5900</v>
      </c>
      <c r="P159" s="448"/>
    </row>
    <row r="160" spans="2:16" s="49" customFormat="1" ht="28.5" customHeight="1">
      <c r="B160" s="24"/>
      <c r="C160" s="27"/>
      <c r="D160" s="27">
        <v>4440</v>
      </c>
      <c r="E160" s="28" t="s">
        <v>68</v>
      </c>
      <c r="F160" s="42">
        <v>121900</v>
      </c>
      <c r="G160" s="230"/>
      <c r="H160" s="82"/>
      <c r="I160" s="82"/>
      <c r="J160" s="82"/>
      <c r="K160" s="82"/>
      <c r="L160" s="82"/>
      <c r="M160" s="82"/>
      <c r="N160" s="82"/>
      <c r="O160" s="128">
        <f t="shared" si="43"/>
        <v>121900</v>
      </c>
      <c r="P160" s="448"/>
    </row>
    <row r="161" spans="2:16" s="49" customFormat="1" ht="38.25">
      <c r="B161" s="24"/>
      <c r="C161" s="27"/>
      <c r="D161" s="27">
        <v>4740</v>
      </c>
      <c r="E161" s="28" t="s">
        <v>69</v>
      </c>
      <c r="F161" s="42">
        <v>8100</v>
      </c>
      <c r="G161" s="230"/>
      <c r="H161" s="82"/>
      <c r="I161" s="82"/>
      <c r="J161" s="82"/>
      <c r="K161" s="82"/>
      <c r="L161" s="82"/>
      <c r="M161" s="82"/>
      <c r="N161" s="82"/>
      <c r="O161" s="128">
        <f t="shared" si="43"/>
        <v>8100</v>
      </c>
      <c r="P161" s="448"/>
    </row>
    <row r="162" spans="2:16" s="49" customFormat="1" ht="25.5">
      <c r="B162" s="24"/>
      <c r="C162" s="27"/>
      <c r="D162" s="27">
        <v>4750</v>
      </c>
      <c r="E162" s="28" t="s">
        <v>70</v>
      </c>
      <c r="F162" s="42">
        <v>20000</v>
      </c>
      <c r="G162" s="230">
        <v>-6000</v>
      </c>
      <c r="H162" s="82"/>
      <c r="I162" s="82"/>
      <c r="J162" s="82"/>
      <c r="K162" s="82"/>
      <c r="L162" s="82"/>
      <c r="M162" s="82"/>
      <c r="N162" s="82"/>
      <c r="O162" s="128">
        <f t="shared" si="43"/>
        <v>14000</v>
      </c>
      <c r="P162" s="447"/>
    </row>
    <row r="163" spans="2:16" s="49" customFormat="1" ht="39" customHeight="1">
      <c r="B163" s="24"/>
      <c r="C163" s="27"/>
      <c r="D163" s="27">
        <v>6050</v>
      </c>
      <c r="E163" s="28" t="s">
        <v>44</v>
      </c>
      <c r="F163" s="42">
        <v>80000</v>
      </c>
      <c r="G163" s="230">
        <v>-65000</v>
      </c>
      <c r="H163" s="82"/>
      <c r="I163" s="82"/>
      <c r="J163" s="82"/>
      <c r="K163" s="82"/>
      <c r="L163" s="82"/>
      <c r="M163" s="82"/>
      <c r="N163" s="82"/>
      <c r="O163" s="128">
        <f t="shared" si="43"/>
        <v>15000</v>
      </c>
      <c r="P163" s="199" t="s">
        <v>282</v>
      </c>
    </row>
    <row r="164" spans="2:16" s="49" customFormat="1" ht="100.5" customHeight="1">
      <c r="B164" s="24"/>
      <c r="C164" s="27"/>
      <c r="D164" s="27">
        <v>6060</v>
      </c>
      <c r="E164" s="28" t="s">
        <v>55</v>
      </c>
      <c r="F164" s="42">
        <v>7000</v>
      </c>
      <c r="G164" s="230">
        <v>-2700</v>
      </c>
      <c r="H164" s="82"/>
      <c r="I164" s="82"/>
      <c r="J164" s="82"/>
      <c r="K164" s="82"/>
      <c r="L164" s="82"/>
      <c r="M164" s="82"/>
      <c r="N164" s="82"/>
      <c r="O164" s="128">
        <f t="shared" si="43"/>
        <v>4300</v>
      </c>
      <c r="P164" s="199" t="s">
        <v>283</v>
      </c>
    </row>
    <row r="165" spans="2:16" s="49" customFormat="1" ht="28.5" customHeight="1">
      <c r="B165" s="24"/>
      <c r="C165" s="14">
        <v>80103</v>
      </c>
      <c r="D165" s="14"/>
      <c r="E165" s="17" t="s">
        <v>151</v>
      </c>
      <c r="F165" s="57">
        <f>SUM(F166:F183)</f>
        <v>513060</v>
      </c>
      <c r="G165" s="252">
        <f>SUM(G166:G183)</f>
        <v>-37000</v>
      </c>
      <c r="H165" s="58">
        <f aca="true" t="shared" si="44" ref="H165:N165">SUM(H166:H183)</f>
        <v>0</v>
      </c>
      <c r="I165" s="58">
        <f t="shared" si="44"/>
        <v>0</v>
      </c>
      <c r="J165" s="58">
        <f t="shared" si="44"/>
        <v>0</v>
      </c>
      <c r="K165" s="58">
        <f t="shared" si="44"/>
        <v>0</v>
      </c>
      <c r="L165" s="58">
        <f t="shared" si="44"/>
        <v>0</v>
      </c>
      <c r="M165" s="58">
        <f t="shared" si="44"/>
        <v>0</v>
      </c>
      <c r="N165" s="58">
        <f t="shared" si="44"/>
        <v>0</v>
      </c>
      <c r="O165" s="162">
        <f>SUM(O166:O182)</f>
        <v>476060</v>
      </c>
      <c r="P165" s="219"/>
    </row>
    <row r="166" spans="2:16" s="49" customFormat="1" ht="25.5">
      <c r="B166" s="24"/>
      <c r="C166" s="27"/>
      <c r="D166" s="27">
        <v>3020</v>
      </c>
      <c r="E166" s="28" t="s">
        <v>61</v>
      </c>
      <c r="F166" s="42">
        <v>15700</v>
      </c>
      <c r="G166" s="230">
        <v>-1000</v>
      </c>
      <c r="H166" s="82"/>
      <c r="I166" s="82"/>
      <c r="J166" s="82"/>
      <c r="K166" s="82"/>
      <c r="L166" s="82"/>
      <c r="M166" s="82"/>
      <c r="N166" s="82"/>
      <c r="O166" s="128">
        <f aca="true" t="shared" si="45" ref="O166:O182">F166+G166+H166+I166+J166+K166+L166+M166+N166</f>
        <v>14700</v>
      </c>
      <c r="P166" s="446" t="s">
        <v>284</v>
      </c>
    </row>
    <row r="167" spans="2:16" s="49" customFormat="1" ht="12.75">
      <c r="B167" s="24"/>
      <c r="C167" s="27"/>
      <c r="D167" s="27">
        <v>4010</v>
      </c>
      <c r="E167" s="28" t="s">
        <v>57</v>
      </c>
      <c r="F167" s="42">
        <v>315700</v>
      </c>
      <c r="G167" s="82"/>
      <c r="H167" s="82"/>
      <c r="I167" s="82"/>
      <c r="J167" s="82"/>
      <c r="K167" s="82"/>
      <c r="L167" s="82"/>
      <c r="M167" s="82"/>
      <c r="N167" s="82"/>
      <c r="O167" s="128">
        <f t="shared" si="45"/>
        <v>315700</v>
      </c>
      <c r="P167" s="448"/>
    </row>
    <row r="168" spans="2:16" s="49" customFormat="1" ht="12.75">
      <c r="B168" s="24"/>
      <c r="C168" s="27"/>
      <c r="D168" s="27">
        <v>4040</v>
      </c>
      <c r="E168" s="28" t="s">
        <v>62</v>
      </c>
      <c r="F168" s="42">
        <v>24700</v>
      </c>
      <c r="G168" s="82"/>
      <c r="H168" s="82"/>
      <c r="I168" s="82"/>
      <c r="J168" s="82"/>
      <c r="K168" s="82"/>
      <c r="L168" s="82"/>
      <c r="M168" s="82"/>
      <c r="N168" s="82"/>
      <c r="O168" s="128">
        <f t="shared" si="45"/>
        <v>24700</v>
      </c>
      <c r="P168" s="448"/>
    </row>
    <row r="169" spans="2:16" s="49" customFormat="1" ht="12.75">
      <c r="B169" s="24"/>
      <c r="C169" s="27"/>
      <c r="D169" s="27">
        <v>4110</v>
      </c>
      <c r="E169" s="28" t="s">
        <v>58</v>
      </c>
      <c r="F169" s="42">
        <v>55100</v>
      </c>
      <c r="G169" s="82"/>
      <c r="H169" s="82"/>
      <c r="I169" s="82"/>
      <c r="J169" s="82"/>
      <c r="K169" s="82"/>
      <c r="L169" s="82"/>
      <c r="M169" s="82"/>
      <c r="N169" s="82"/>
      <c r="O169" s="128">
        <f t="shared" si="45"/>
        <v>55100</v>
      </c>
      <c r="P169" s="448"/>
    </row>
    <row r="170" spans="2:16" s="49" customFormat="1" ht="12.75">
      <c r="B170" s="24"/>
      <c r="C170" s="27"/>
      <c r="D170" s="27">
        <v>4120</v>
      </c>
      <c r="E170" s="28" t="s">
        <v>146</v>
      </c>
      <c r="F170" s="42">
        <v>9760</v>
      </c>
      <c r="G170" s="82"/>
      <c r="H170" s="82"/>
      <c r="I170" s="82"/>
      <c r="J170" s="82"/>
      <c r="K170" s="82"/>
      <c r="L170" s="82"/>
      <c r="M170" s="82"/>
      <c r="N170" s="82"/>
      <c r="O170" s="128">
        <f t="shared" si="45"/>
        <v>9760</v>
      </c>
      <c r="P170" s="448"/>
    </row>
    <row r="171" spans="2:16" s="49" customFormat="1" ht="12.75">
      <c r="B171" s="24"/>
      <c r="C171" s="27"/>
      <c r="D171" s="27">
        <v>4210</v>
      </c>
      <c r="E171" s="28" t="s">
        <v>39</v>
      </c>
      <c r="F171" s="42">
        <v>27000</v>
      </c>
      <c r="G171" s="230">
        <v>-17000</v>
      </c>
      <c r="H171" s="82"/>
      <c r="I171" s="82"/>
      <c r="J171" s="82"/>
      <c r="K171" s="82"/>
      <c r="L171" s="82"/>
      <c r="M171" s="82"/>
      <c r="N171" s="82"/>
      <c r="O171" s="128">
        <f t="shared" si="45"/>
        <v>10000</v>
      </c>
      <c r="P171" s="448"/>
    </row>
    <row r="172" spans="2:16" s="49" customFormat="1" ht="12.75">
      <c r="B172" s="24"/>
      <c r="C172" s="27"/>
      <c r="D172" s="27">
        <v>4240</v>
      </c>
      <c r="E172" s="28" t="s">
        <v>149</v>
      </c>
      <c r="F172" s="42">
        <v>4000</v>
      </c>
      <c r="G172" s="230">
        <v>-4000</v>
      </c>
      <c r="H172" s="82"/>
      <c r="I172" s="82"/>
      <c r="J172" s="82"/>
      <c r="K172" s="82"/>
      <c r="L172" s="82"/>
      <c r="M172" s="82"/>
      <c r="N172" s="82"/>
      <c r="O172" s="128">
        <f t="shared" si="45"/>
        <v>0</v>
      </c>
      <c r="P172" s="448"/>
    </row>
    <row r="173" spans="2:16" s="49" customFormat="1" ht="12.75">
      <c r="B173" s="24"/>
      <c r="C173" s="27"/>
      <c r="D173" s="27">
        <v>4260</v>
      </c>
      <c r="E173" s="28" t="s">
        <v>59</v>
      </c>
      <c r="F173" s="42">
        <v>11000</v>
      </c>
      <c r="G173" s="230"/>
      <c r="H173" s="82"/>
      <c r="I173" s="82"/>
      <c r="J173" s="82"/>
      <c r="K173" s="82"/>
      <c r="L173" s="82"/>
      <c r="M173" s="82"/>
      <c r="N173" s="82"/>
      <c r="O173" s="128">
        <f t="shared" si="45"/>
        <v>11000</v>
      </c>
      <c r="P173" s="448"/>
    </row>
    <row r="174" spans="2:16" s="49" customFormat="1" ht="12.75">
      <c r="B174" s="24"/>
      <c r="C174" s="27"/>
      <c r="D174" s="27">
        <v>4270</v>
      </c>
      <c r="E174" s="28" t="s">
        <v>40</v>
      </c>
      <c r="F174" s="42">
        <v>20000</v>
      </c>
      <c r="G174" s="230">
        <v>-15000</v>
      </c>
      <c r="H174" s="82"/>
      <c r="I174" s="82"/>
      <c r="J174" s="82"/>
      <c r="K174" s="82"/>
      <c r="L174" s="82"/>
      <c r="M174" s="82"/>
      <c r="N174" s="82"/>
      <c r="O174" s="128">
        <f t="shared" si="45"/>
        <v>5000</v>
      </c>
      <c r="P174" s="448"/>
    </row>
    <row r="175" spans="2:16" s="49" customFormat="1" ht="12.75">
      <c r="B175" s="24"/>
      <c r="C175" s="27"/>
      <c r="D175" s="27">
        <v>4280</v>
      </c>
      <c r="E175" s="28" t="s">
        <v>64</v>
      </c>
      <c r="F175" s="42">
        <v>2000</v>
      </c>
      <c r="G175" s="82"/>
      <c r="H175" s="82"/>
      <c r="I175" s="82"/>
      <c r="J175" s="82"/>
      <c r="K175" s="82"/>
      <c r="L175" s="82"/>
      <c r="M175" s="82"/>
      <c r="N175" s="82"/>
      <c r="O175" s="128">
        <f t="shared" si="45"/>
        <v>2000</v>
      </c>
      <c r="P175" s="448"/>
    </row>
    <row r="176" spans="2:16" s="49" customFormat="1" ht="12.75">
      <c r="B176" s="24"/>
      <c r="C176" s="27"/>
      <c r="D176" s="27">
        <v>4300</v>
      </c>
      <c r="E176" s="28" t="s">
        <v>41</v>
      </c>
      <c r="F176" s="42">
        <v>4000</v>
      </c>
      <c r="G176" s="82"/>
      <c r="H176" s="82"/>
      <c r="I176" s="82"/>
      <c r="J176" s="82"/>
      <c r="K176" s="82"/>
      <c r="L176" s="82"/>
      <c r="M176" s="82"/>
      <c r="N176" s="82"/>
      <c r="O176" s="128">
        <f t="shared" si="45"/>
        <v>4000</v>
      </c>
      <c r="P176" s="447"/>
    </row>
    <row r="177" spans="2:16" s="49" customFormat="1" ht="25.5" customHeight="1" hidden="1">
      <c r="B177" s="24"/>
      <c r="C177" s="27"/>
      <c r="D177" s="27">
        <v>4350</v>
      </c>
      <c r="E177" s="28" t="s">
        <v>65</v>
      </c>
      <c r="F177" s="42"/>
      <c r="G177" s="82"/>
      <c r="H177" s="82"/>
      <c r="I177" s="82"/>
      <c r="J177" s="82"/>
      <c r="K177" s="82"/>
      <c r="L177" s="82"/>
      <c r="M177" s="82"/>
      <c r="N177" s="82"/>
      <c r="O177" s="128">
        <f t="shared" si="45"/>
        <v>0</v>
      </c>
      <c r="P177" s="199"/>
    </row>
    <row r="178" spans="2:16" s="49" customFormat="1" ht="38.25">
      <c r="B178" s="24"/>
      <c r="C178" s="27"/>
      <c r="D178" s="27">
        <v>4370</v>
      </c>
      <c r="E178" s="28" t="s">
        <v>67</v>
      </c>
      <c r="F178" s="42">
        <v>1500</v>
      </c>
      <c r="G178" s="82"/>
      <c r="H178" s="82"/>
      <c r="I178" s="82"/>
      <c r="J178" s="82"/>
      <c r="K178" s="82"/>
      <c r="L178" s="82"/>
      <c r="M178" s="82"/>
      <c r="N178" s="82"/>
      <c r="O178" s="128">
        <f t="shared" si="45"/>
        <v>1500</v>
      </c>
      <c r="P178" s="199"/>
    </row>
    <row r="179" spans="2:16" s="49" customFormat="1" ht="12.75">
      <c r="B179" s="24"/>
      <c r="C179" s="27"/>
      <c r="D179" s="27">
        <v>4410</v>
      </c>
      <c r="E179" s="28" t="s">
        <v>60</v>
      </c>
      <c r="F179" s="42">
        <v>700</v>
      </c>
      <c r="G179" s="82"/>
      <c r="H179" s="82"/>
      <c r="I179" s="82"/>
      <c r="J179" s="82"/>
      <c r="K179" s="82"/>
      <c r="L179" s="82"/>
      <c r="M179" s="82"/>
      <c r="N179" s="82"/>
      <c r="O179" s="128">
        <f t="shared" si="45"/>
        <v>700</v>
      </c>
      <c r="P179" s="199"/>
    </row>
    <row r="180" spans="2:16" s="49" customFormat="1" ht="28.5" customHeight="1">
      <c r="B180" s="24"/>
      <c r="C180" s="27"/>
      <c r="D180" s="27">
        <v>4440</v>
      </c>
      <c r="E180" s="28" t="s">
        <v>68</v>
      </c>
      <c r="F180" s="42">
        <v>18500</v>
      </c>
      <c r="G180" s="82"/>
      <c r="H180" s="82"/>
      <c r="I180" s="82"/>
      <c r="J180" s="82"/>
      <c r="K180" s="82"/>
      <c r="L180" s="82"/>
      <c r="M180" s="82"/>
      <c r="N180" s="82"/>
      <c r="O180" s="128">
        <f t="shared" si="45"/>
        <v>18500</v>
      </c>
      <c r="P180" s="199"/>
    </row>
    <row r="181" spans="2:16" s="49" customFormat="1" ht="38.25">
      <c r="B181" s="24"/>
      <c r="C181" s="27"/>
      <c r="D181" s="27">
        <v>4740</v>
      </c>
      <c r="E181" s="28" t="s">
        <v>69</v>
      </c>
      <c r="F181" s="42">
        <v>2400</v>
      </c>
      <c r="G181" s="82"/>
      <c r="H181" s="82"/>
      <c r="I181" s="82"/>
      <c r="J181" s="82"/>
      <c r="K181" s="82"/>
      <c r="L181" s="82"/>
      <c r="M181" s="82"/>
      <c r="N181" s="82"/>
      <c r="O181" s="128">
        <f t="shared" si="45"/>
        <v>2400</v>
      </c>
      <c r="P181" s="199"/>
    </row>
    <row r="182" spans="2:16" s="49" customFormat="1" ht="25.5">
      <c r="B182" s="24"/>
      <c r="C182" s="27"/>
      <c r="D182" s="27">
        <v>4750</v>
      </c>
      <c r="E182" s="28" t="s">
        <v>70</v>
      </c>
      <c r="F182" s="42">
        <v>1000</v>
      </c>
      <c r="G182" s="82"/>
      <c r="H182" s="82"/>
      <c r="I182" s="82"/>
      <c r="J182" s="82"/>
      <c r="K182" s="82"/>
      <c r="L182" s="82"/>
      <c r="M182" s="82"/>
      <c r="N182" s="82"/>
      <c r="O182" s="128">
        <f t="shared" si="45"/>
        <v>1000</v>
      </c>
      <c r="P182" s="199"/>
    </row>
    <row r="183" spans="2:16" s="49" customFormat="1" ht="28.5" customHeight="1" hidden="1">
      <c r="B183" s="24"/>
      <c r="C183" s="27"/>
      <c r="D183" s="27">
        <v>6060</v>
      </c>
      <c r="E183" s="28" t="s">
        <v>55</v>
      </c>
      <c r="F183" s="42"/>
      <c r="G183" s="82"/>
      <c r="H183" s="82"/>
      <c r="I183" s="82"/>
      <c r="J183" s="82"/>
      <c r="K183" s="82"/>
      <c r="L183" s="82"/>
      <c r="M183" s="82"/>
      <c r="N183" s="82"/>
      <c r="O183" s="128"/>
      <c r="P183" s="199"/>
    </row>
    <row r="184" spans="2:16" s="49" customFormat="1" ht="12.75">
      <c r="B184" s="24"/>
      <c r="C184" s="14">
        <v>80104</v>
      </c>
      <c r="D184" s="14"/>
      <c r="E184" s="17" t="s">
        <v>32</v>
      </c>
      <c r="F184" s="57">
        <f>SUM(F185:F207)</f>
        <v>1208000</v>
      </c>
      <c r="G184" s="252">
        <f>SUM(G185:N207)</f>
        <v>-9000</v>
      </c>
      <c r="H184" s="58">
        <f>SUM(H185:H207)</f>
        <v>0</v>
      </c>
      <c r="I184" s="58">
        <f aca="true" t="shared" si="46" ref="I184:N184">SUM(I186:I207)</f>
        <v>0</v>
      </c>
      <c r="J184" s="58">
        <f t="shared" si="46"/>
        <v>0</v>
      </c>
      <c r="K184" s="58">
        <f t="shared" si="46"/>
        <v>0</v>
      </c>
      <c r="L184" s="58">
        <f t="shared" si="46"/>
        <v>0</v>
      </c>
      <c r="M184" s="58">
        <f t="shared" si="46"/>
        <v>0</v>
      </c>
      <c r="N184" s="58">
        <f t="shared" si="46"/>
        <v>0</v>
      </c>
      <c r="O184" s="162">
        <f>SUM(O185:O207)</f>
        <v>1199000</v>
      </c>
      <c r="P184" s="219"/>
    </row>
    <row r="185" spans="2:16" s="49" customFormat="1" ht="80.25" customHeight="1">
      <c r="B185" s="24"/>
      <c r="C185" s="14"/>
      <c r="D185" s="27">
        <v>2310</v>
      </c>
      <c r="E185" s="28" t="s">
        <v>230</v>
      </c>
      <c r="F185" s="42">
        <v>33000</v>
      </c>
      <c r="G185" s="58"/>
      <c r="H185" s="82"/>
      <c r="I185" s="58"/>
      <c r="J185" s="58"/>
      <c r="K185" s="58"/>
      <c r="L185" s="58"/>
      <c r="M185" s="58"/>
      <c r="N185" s="58"/>
      <c r="O185" s="128">
        <f aca="true" t="shared" si="47" ref="O185:O207">F185+G185+H185+I185+J185+K185+L185+M185+N185</f>
        <v>33000</v>
      </c>
      <c r="P185" s="446" t="s">
        <v>285</v>
      </c>
    </row>
    <row r="186" spans="2:16" s="49" customFormat="1" ht="12.75">
      <c r="B186" s="29"/>
      <c r="C186" s="27"/>
      <c r="D186" s="27">
        <v>2540</v>
      </c>
      <c r="E186" s="28" t="s">
        <v>152</v>
      </c>
      <c r="F186" s="42">
        <v>223000</v>
      </c>
      <c r="G186" s="82"/>
      <c r="H186" s="82"/>
      <c r="I186" s="82"/>
      <c r="J186" s="82"/>
      <c r="K186" s="82"/>
      <c r="L186" s="82"/>
      <c r="M186" s="82"/>
      <c r="N186" s="82"/>
      <c r="O186" s="128">
        <f t="shared" si="47"/>
        <v>223000</v>
      </c>
      <c r="P186" s="448"/>
    </row>
    <row r="187" spans="2:16" s="49" customFormat="1" ht="25.5">
      <c r="B187" s="24"/>
      <c r="C187" s="27"/>
      <c r="D187" s="27">
        <v>3020</v>
      </c>
      <c r="E187" s="28" t="s">
        <v>61</v>
      </c>
      <c r="F187" s="42">
        <v>33700</v>
      </c>
      <c r="G187" s="230">
        <v>-1000</v>
      </c>
      <c r="H187" s="82"/>
      <c r="I187" s="82"/>
      <c r="J187" s="82"/>
      <c r="K187" s="82"/>
      <c r="L187" s="82"/>
      <c r="M187" s="82"/>
      <c r="N187" s="82"/>
      <c r="O187" s="128">
        <f t="shared" si="47"/>
        <v>32700</v>
      </c>
      <c r="P187" s="448"/>
    </row>
    <row r="188" spans="2:16" s="49" customFormat="1" ht="12.75">
      <c r="B188" s="24"/>
      <c r="C188" s="27"/>
      <c r="D188" s="27">
        <v>4010</v>
      </c>
      <c r="E188" s="28" t="s">
        <v>57</v>
      </c>
      <c r="F188" s="42">
        <v>608000</v>
      </c>
      <c r="G188" s="230"/>
      <c r="H188" s="82"/>
      <c r="I188" s="82"/>
      <c r="J188" s="82"/>
      <c r="K188" s="82"/>
      <c r="L188" s="82"/>
      <c r="M188" s="82"/>
      <c r="N188" s="82"/>
      <c r="O188" s="128">
        <f t="shared" si="47"/>
        <v>608000</v>
      </c>
      <c r="P188" s="448"/>
    </row>
    <row r="189" spans="2:16" s="49" customFormat="1" ht="12.75">
      <c r="B189" s="24"/>
      <c r="C189" s="27"/>
      <c r="D189" s="27">
        <v>4040</v>
      </c>
      <c r="E189" s="28" t="s">
        <v>62</v>
      </c>
      <c r="F189" s="42">
        <v>45100</v>
      </c>
      <c r="G189" s="230"/>
      <c r="H189" s="82"/>
      <c r="I189" s="82"/>
      <c r="J189" s="82"/>
      <c r="K189" s="82"/>
      <c r="L189" s="82"/>
      <c r="M189" s="82"/>
      <c r="N189" s="82"/>
      <c r="O189" s="128">
        <f t="shared" si="47"/>
        <v>45100</v>
      </c>
      <c r="P189" s="448"/>
    </row>
    <row r="190" spans="2:16" s="49" customFormat="1" ht="12.75">
      <c r="B190" s="24"/>
      <c r="C190" s="27"/>
      <c r="D190" s="27">
        <v>4110</v>
      </c>
      <c r="E190" s="28" t="s">
        <v>58</v>
      </c>
      <c r="F190" s="42">
        <v>100000</v>
      </c>
      <c r="G190" s="230"/>
      <c r="H190" s="82"/>
      <c r="I190" s="82"/>
      <c r="J190" s="82"/>
      <c r="K190" s="82"/>
      <c r="L190" s="82"/>
      <c r="M190" s="82"/>
      <c r="N190" s="82"/>
      <c r="O190" s="128">
        <f t="shared" si="47"/>
        <v>100000</v>
      </c>
      <c r="P190" s="448"/>
    </row>
    <row r="191" spans="2:16" s="49" customFormat="1" ht="12.75">
      <c r="B191" s="24"/>
      <c r="C191" s="27"/>
      <c r="D191" s="27">
        <v>4120</v>
      </c>
      <c r="E191" s="28" t="s">
        <v>146</v>
      </c>
      <c r="F191" s="42">
        <v>17000</v>
      </c>
      <c r="G191" s="230"/>
      <c r="H191" s="82"/>
      <c r="I191" s="82"/>
      <c r="J191" s="82"/>
      <c r="K191" s="82"/>
      <c r="L191" s="82"/>
      <c r="M191" s="82"/>
      <c r="N191" s="82"/>
      <c r="O191" s="128">
        <f t="shared" si="47"/>
        <v>17000</v>
      </c>
      <c r="P191" s="448"/>
    </row>
    <row r="192" spans="2:16" s="49" customFormat="1" ht="12.75" customHeight="1" hidden="1">
      <c r="B192" s="24"/>
      <c r="C192" s="27"/>
      <c r="D192" s="27">
        <v>4170</v>
      </c>
      <c r="E192" s="28" t="s">
        <v>63</v>
      </c>
      <c r="F192" s="42"/>
      <c r="G192" s="230"/>
      <c r="H192" s="82"/>
      <c r="I192" s="82"/>
      <c r="J192" s="82"/>
      <c r="K192" s="82"/>
      <c r="L192" s="82"/>
      <c r="M192" s="82"/>
      <c r="N192" s="82"/>
      <c r="O192" s="128">
        <f t="shared" si="47"/>
        <v>0</v>
      </c>
      <c r="P192" s="448"/>
    </row>
    <row r="193" spans="2:16" s="49" customFormat="1" ht="12.75">
      <c r="B193" s="24"/>
      <c r="C193" s="27"/>
      <c r="D193" s="27">
        <v>4210</v>
      </c>
      <c r="E193" s="28" t="s">
        <v>39</v>
      </c>
      <c r="F193" s="42">
        <v>25000</v>
      </c>
      <c r="G193" s="230">
        <v>-8488</v>
      </c>
      <c r="H193" s="82"/>
      <c r="I193" s="82"/>
      <c r="J193" s="82"/>
      <c r="K193" s="82"/>
      <c r="L193" s="82"/>
      <c r="M193" s="82"/>
      <c r="N193" s="82"/>
      <c r="O193" s="128">
        <f t="shared" si="47"/>
        <v>16512</v>
      </c>
      <c r="P193" s="448"/>
    </row>
    <row r="194" spans="2:16" s="49" customFormat="1" ht="12.75">
      <c r="B194" s="24"/>
      <c r="C194" s="27"/>
      <c r="D194" s="27">
        <v>4240</v>
      </c>
      <c r="E194" s="28" t="s">
        <v>149</v>
      </c>
      <c r="F194" s="42">
        <v>5000</v>
      </c>
      <c r="G194" s="230">
        <v>-4000</v>
      </c>
      <c r="H194" s="82"/>
      <c r="I194" s="82"/>
      <c r="J194" s="82"/>
      <c r="K194" s="82"/>
      <c r="L194" s="82"/>
      <c r="M194" s="82"/>
      <c r="N194" s="82"/>
      <c r="O194" s="128">
        <f t="shared" si="47"/>
        <v>1000</v>
      </c>
      <c r="P194" s="448"/>
    </row>
    <row r="195" spans="2:16" s="49" customFormat="1" ht="12.75">
      <c r="B195" s="24"/>
      <c r="C195" s="27"/>
      <c r="D195" s="27">
        <v>4260</v>
      </c>
      <c r="E195" s="28" t="s">
        <v>59</v>
      </c>
      <c r="F195" s="42">
        <v>48500</v>
      </c>
      <c r="G195" s="230"/>
      <c r="H195" s="82"/>
      <c r="I195" s="82"/>
      <c r="J195" s="82"/>
      <c r="K195" s="82"/>
      <c r="L195" s="82"/>
      <c r="M195" s="82"/>
      <c r="N195" s="82"/>
      <c r="O195" s="128">
        <f t="shared" si="47"/>
        <v>48500</v>
      </c>
      <c r="P195" s="448"/>
    </row>
    <row r="196" spans="2:16" s="49" customFormat="1" ht="12.75">
      <c r="B196" s="24"/>
      <c r="C196" s="27"/>
      <c r="D196" s="27">
        <v>4270</v>
      </c>
      <c r="E196" s="28" t="s">
        <v>40</v>
      </c>
      <c r="F196" s="42">
        <v>5000</v>
      </c>
      <c r="G196" s="230">
        <v>-4000</v>
      </c>
      <c r="H196" s="82"/>
      <c r="I196" s="82"/>
      <c r="J196" s="82"/>
      <c r="K196" s="82"/>
      <c r="L196" s="82"/>
      <c r="M196" s="82"/>
      <c r="N196" s="82"/>
      <c r="O196" s="128">
        <f t="shared" si="47"/>
        <v>1000</v>
      </c>
      <c r="P196" s="448"/>
    </row>
    <row r="197" spans="2:16" s="49" customFormat="1" ht="12.75">
      <c r="B197" s="24"/>
      <c r="C197" s="27"/>
      <c r="D197" s="27">
        <v>4280</v>
      </c>
      <c r="E197" s="28" t="s">
        <v>64</v>
      </c>
      <c r="F197" s="42">
        <v>3000</v>
      </c>
      <c r="G197" s="82"/>
      <c r="H197" s="82"/>
      <c r="I197" s="82"/>
      <c r="J197" s="82"/>
      <c r="K197" s="82"/>
      <c r="L197" s="82"/>
      <c r="M197" s="82"/>
      <c r="N197" s="82"/>
      <c r="O197" s="128">
        <f t="shared" si="47"/>
        <v>3000</v>
      </c>
      <c r="P197" s="448"/>
    </row>
    <row r="198" spans="2:16" s="49" customFormat="1" ht="12.75">
      <c r="B198" s="24"/>
      <c r="C198" s="27"/>
      <c r="D198" s="27">
        <v>4300</v>
      </c>
      <c r="E198" s="28" t="s">
        <v>41</v>
      </c>
      <c r="F198" s="42">
        <v>15000</v>
      </c>
      <c r="G198" s="82"/>
      <c r="H198" s="82"/>
      <c r="I198" s="82"/>
      <c r="J198" s="82"/>
      <c r="K198" s="82"/>
      <c r="L198" s="82"/>
      <c r="M198" s="82"/>
      <c r="N198" s="82"/>
      <c r="O198" s="128">
        <f t="shared" si="47"/>
        <v>15000</v>
      </c>
      <c r="P198" s="448"/>
    </row>
    <row r="199" spans="2:16" s="49" customFormat="1" ht="12.75">
      <c r="B199" s="24"/>
      <c r="C199" s="27"/>
      <c r="D199" s="27">
        <v>4350</v>
      </c>
      <c r="E199" s="28" t="s">
        <v>65</v>
      </c>
      <c r="F199" s="42">
        <v>800</v>
      </c>
      <c r="G199" s="82"/>
      <c r="H199" s="82"/>
      <c r="I199" s="82"/>
      <c r="J199" s="82"/>
      <c r="K199" s="82"/>
      <c r="L199" s="82"/>
      <c r="M199" s="82"/>
      <c r="N199" s="82"/>
      <c r="O199" s="128">
        <f t="shared" si="47"/>
        <v>800</v>
      </c>
      <c r="P199" s="448"/>
    </row>
    <row r="200" spans="2:16" s="49" customFormat="1" ht="38.25" customHeight="1">
      <c r="B200" s="24"/>
      <c r="C200" s="27"/>
      <c r="D200" s="27">
        <v>4360</v>
      </c>
      <c r="E200" s="28" t="s">
        <v>66</v>
      </c>
      <c r="F200" s="42">
        <v>600</v>
      </c>
      <c r="G200" s="82"/>
      <c r="H200" s="82"/>
      <c r="I200" s="82"/>
      <c r="J200" s="82"/>
      <c r="K200" s="82"/>
      <c r="L200" s="82"/>
      <c r="M200" s="82"/>
      <c r="N200" s="82"/>
      <c r="O200" s="128">
        <f t="shared" si="47"/>
        <v>600</v>
      </c>
      <c r="P200" s="448"/>
    </row>
    <row r="201" spans="2:16" s="49" customFormat="1" ht="38.25" customHeight="1">
      <c r="B201" s="24"/>
      <c r="C201" s="27"/>
      <c r="D201" s="27">
        <v>4370</v>
      </c>
      <c r="E201" s="28" t="s">
        <v>67</v>
      </c>
      <c r="F201" s="42">
        <v>2500</v>
      </c>
      <c r="G201" s="82"/>
      <c r="H201" s="82"/>
      <c r="I201" s="82"/>
      <c r="J201" s="82"/>
      <c r="K201" s="82"/>
      <c r="L201" s="82"/>
      <c r="M201" s="82"/>
      <c r="N201" s="82"/>
      <c r="O201" s="128">
        <f t="shared" si="47"/>
        <v>2500</v>
      </c>
      <c r="P201" s="448"/>
    </row>
    <row r="202" spans="2:16" s="49" customFormat="1" ht="12.75">
      <c r="B202" s="24"/>
      <c r="C202" s="27"/>
      <c r="D202" s="27">
        <v>4410</v>
      </c>
      <c r="E202" s="28" t="s">
        <v>60</v>
      </c>
      <c r="F202" s="42">
        <v>1000</v>
      </c>
      <c r="G202" s="82"/>
      <c r="H202" s="82"/>
      <c r="I202" s="82"/>
      <c r="J202" s="82"/>
      <c r="K202" s="82"/>
      <c r="L202" s="82"/>
      <c r="M202" s="82"/>
      <c r="N202" s="82"/>
      <c r="O202" s="128">
        <f t="shared" si="47"/>
        <v>1000</v>
      </c>
      <c r="P202" s="448"/>
    </row>
    <row r="203" spans="2:16" s="49" customFormat="1" ht="12.75">
      <c r="B203" s="24"/>
      <c r="C203" s="27"/>
      <c r="D203" s="27">
        <v>4430</v>
      </c>
      <c r="E203" s="28" t="s">
        <v>150</v>
      </c>
      <c r="F203" s="42">
        <v>1000</v>
      </c>
      <c r="G203" s="82"/>
      <c r="H203" s="82"/>
      <c r="I203" s="82"/>
      <c r="J203" s="82"/>
      <c r="K203" s="82"/>
      <c r="L203" s="82"/>
      <c r="M203" s="82"/>
      <c r="N203" s="82"/>
      <c r="O203" s="128">
        <f t="shared" si="47"/>
        <v>1000</v>
      </c>
      <c r="P203" s="448"/>
    </row>
    <row r="204" spans="2:16" s="49" customFormat="1" ht="28.5" customHeight="1">
      <c r="B204" s="24"/>
      <c r="C204" s="27"/>
      <c r="D204" s="27">
        <v>4440</v>
      </c>
      <c r="E204" s="28" t="s">
        <v>68</v>
      </c>
      <c r="F204" s="42">
        <v>35800</v>
      </c>
      <c r="G204" s="82"/>
      <c r="H204" s="82"/>
      <c r="I204" s="82"/>
      <c r="J204" s="82"/>
      <c r="K204" s="82"/>
      <c r="L204" s="82"/>
      <c r="M204" s="82"/>
      <c r="N204" s="82"/>
      <c r="O204" s="128">
        <f t="shared" si="47"/>
        <v>35800</v>
      </c>
      <c r="P204" s="448"/>
    </row>
    <row r="205" spans="2:16" s="49" customFormat="1" ht="38.25">
      <c r="B205" s="24"/>
      <c r="C205" s="27"/>
      <c r="D205" s="27">
        <v>4740</v>
      </c>
      <c r="E205" s="28" t="s">
        <v>69</v>
      </c>
      <c r="F205" s="42">
        <v>5000</v>
      </c>
      <c r="G205" s="82"/>
      <c r="H205" s="82"/>
      <c r="I205" s="82"/>
      <c r="J205" s="82"/>
      <c r="K205" s="82"/>
      <c r="L205" s="82"/>
      <c r="M205" s="82"/>
      <c r="N205" s="82"/>
      <c r="O205" s="128">
        <f t="shared" si="47"/>
        <v>5000</v>
      </c>
      <c r="P205" s="447"/>
    </row>
    <row r="206" spans="2:16" s="49" customFormat="1" ht="28.5" customHeight="1" hidden="1">
      <c r="B206" s="24"/>
      <c r="C206" s="27"/>
      <c r="D206" s="27">
        <v>6050</v>
      </c>
      <c r="E206" s="28" t="s">
        <v>44</v>
      </c>
      <c r="F206" s="42"/>
      <c r="G206" s="82"/>
      <c r="H206" s="82"/>
      <c r="I206" s="82"/>
      <c r="J206" s="82"/>
      <c r="K206" s="82"/>
      <c r="L206" s="82"/>
      <c r="M206" s="82"/>
      <c r="N206" s="82"/>
      <c r="O206" s="128">
        <f t="shared" si="47"/>
        <v>0</v>
      </c>
      <c r="P206" s="199"/>
    </row>
    <row r="207" spans="2:16" s="49" customFormat="1" ht="50.25" customHeight="1">
      <c r="B207" s="24"/>
      <c r="C207" s="27"/>
      <c r="D207" s="27">
        <v>6060</v>
      </c>
      <c r="E207" s="28" t="s">
        <v>55</v>
      </c>
      <c r="F207" s="42"/>
      <c r="G207" s="82">
        <v>8488</v>
      </c>
      <c r="H207" s="82"/>
      <c r="I207" s="82"/>
      <c r="J207" s="82"/>
      <c r="K207" s="82"/>
      <c r="L207" s="82"/>
      <c r="M207" s="82"/>
      <c r="N207" s="82"/>
      <c r="O207" s="128">
        <f t="shared" si="47"/>
        <v>8488</v>
      </c>
      <c r="P207" s="199" t="s">
        <v>286</v>
      </c>
    </row>
    <row r="208" spans="2:16" s="49" customFormat="1" ht="12.75">
      <c r="B208" s="24"/>
      <c r="C208" s="14">
        <v>80110</v>
      </c>
      <c r="D208" s="14"/>
      <c r="E208" s="17" t="s">
        <v>33</v>
      </c>
      <c r="F208" s="57">
        <f>SUM(F209:F230)</f>
        <v>1771000</v>
      </c>
      <c r="G208" s="252">
        <f>SUM(G209:G230)</f>
        <v>-32000</v>
      </c>
      <c r="H208" s="58">
        <f aca="true" t="shared" si="48" ref="H208:N208">SUM(H209:H230)</f>
        <v>0</v>
      </c>
      <c r="I208" s="58">
        <f t="shared" si="48"/>
        <v>0</v>
      </c>
      <c r="J208" s="58">
        <f t="shared" si="48"/>
        <v>0</v>
      </c>
      <c r="K208" s="58">
        <f t="shared" si="48"/>
        <v>0</v>
      </c>
      <c r="L208" s="58">
        <f t="shared" si="48"/>
        <v>0</v>
      </c>
      <c r="M208" s="58">
        <f t="shared" si="48"/>
        <v>0</v>
      </c>
      <c r="N208" s="58">
        <f t="shared" si="48"/>
        <v>0</v>
      </c>
      <c r="O208" s="162">
        <f>SUM(O209:O230)</f>
        <v>1739000</v>
      </c>
      <c r="P208" s="219"/>
    </row>
    <row r="209" spans="2:16" s="49" customFormat="1" ht="25.5">
      <c r="B209" s="24"/>
      <c r="C209" s="14"/>
      <c r="D209" s="27">
        <v>3020</v>
      </c>
      <c r="E209" s="28" t="s">
        <v>61</v>
      </c>
      <c r="F209" s="42">
        <v>76200</v>
      </c>
      <c r="G209" s="230">
        <v>-2000</v>
      </c>
      <c r="H209" s="82"/>
      <c r="I209" s="82"/>
      <c r="J209" s="82"/>
      <c r="K209" s="82"/>
      <c r="L209" s="82"/>
      <c r="M209" s="82"/>
      <c r="N209" s="82"/>
      <c r="O209" s="128">
        <f aca="true" t="shared" si="49" ref="O209:O230">F209+G209+H209+I209+J209+K209+L209+M209+N209</f>
        <v>74200</v>
      </c>
      <c r="P209" s="446" t="s">
        <v>287</v>
      </c>
    </row>
    <row r="210" spans="2:16" s="49" customFormat="1" ht="12.75">
      <c r="B210" s="24"/>
      <c r="C210" s="14"/>
      <c r="D210" s="27">
        <v>4010</v>
      </c>
      <c r="E210" s="28" t="s">
        <v>57</v>
      </c>
      <c r="F210" s="42">
        <v>1105000</v>
      </c>
      <c r="G210" s="230">
        <v>-20000</v>
      </c>
      <c r="H210" s="82"/>
      <c r="I210" s="82"/>
      <c r="J210" s="82"/>
      <c r="K210" s="82"/>
      <c r="L210" s="82"/>
      <c r="M210" s="82"/>
      <c r="N210" s="82"/>
      <c r="O210" s="128">
        <f t="shared" si="49"/>
        <v>1085000</v>
      </c>
      <c r="P210" s="448"/>
    </row>
    <row r="211" spans="2:16" s="49" customFormat="1" ht="12.75">
      <c r="B211" s="24"/>
      <c r="C211" s="14"/>
      <c r="D211" s="27">
        <v>4040</v>
      </c>
      <c r="E211" s="28" t="s">
        <v>62</v>
      </c>
      <c r="F211" s="42">
        <v>91000</v>
      </c>
      <c r="G211" s="230"/>
      <c r="H211" s="82"/>
      <c r="I211" s="82"/>
      <c r="J211" s="82"/>
      <c r="K211" s="82"/>
      <c r="L211" s="82"/>
      <c r="M211" s="82"/>
      <c r="N211" s="82"/>
      <c r="O211" s="128">
        <f t="shared" si="49"/>
        <v>91000</v>
      </c>
      <c r="P211" s="448"/>
    </row>
    <row r="212" spans="2:16" s="49" customFormat="1" ht="12.75">
      <c r="B212" s="24"/>
      <c r="C212" s="57"/>
      <c r="D212" s="27">
        <v>4110</v>
      </c>
      <c r="E212" s="28" t="s">
        <v>58</v>
      </c>
      <c r="F212" s="42">
        <v>182000</v>
      </c>
      <c r="G212" s="230"/>
      <c r="H212" s="82"/>
      <c r="I212" s="82"/>
      <c r="J212" s="82"/>
      <c r="K212" s="82"/>
      <c r="L212" s="82"/>
      <c r="M212" s="82"/>
      <c r="N212" s="82"/>
      <c r="O212" s="128">
        <f t="shared" si="49"/>
        <v>182000</v>
      </c>
      <c r="P212" s="448"/>
    </row>
    <row r="213" spans="2:16" s="49" customFormat="1" ht="12.75">
      <c r="B213" s="24"/>
      <c r="C213" s="14"/>
      <c r="D213" s="27">
        <v>4120</v>
      </c>
      <c r="E213" s="28" t="s">
        <v>146</v>
      </c>
      <c r="F213" s="42">
        <v>30600</v>
      </c>
      <c r="G213" s="230"/>
      <c r="H213" s="82"/>
      <c r="I213" s="82"/>
      <c r="J213" s="82"/>
      <c r="K213" s="82"/>
      <c r="L213" s="82"/>
      <c r="M213" s="82"/>
      <c r="N213" s="82"/>
      <c r="O213" s="128">
        <f t="shared" si="49"/>
        <v>30600</v>
      </c>
      <c r="P213" s="448"/>
    </row>
    <row r="214" spans="2:16" s="49" customFormat="1" ht="12.75">
      <c r="B214" s="24"/>
      <c r="C214" s="14"/>
      <c r="D214" s="27">
        <v>4210</v>
      </c>
      <c r="E214" s="28" t="s">
        <v>39</v>
      </c>
      <c r="F214" s="42">
        <v>30000</v>
      </c>
      <c r="G214" s="230">
        <v>-5000</v>
      </c>
      <c r="H214" s="82"/>
      <c r="I214" s="82"/>
      <c r="J214" s="82"/>
      <c r="K214" s="82"/>
      <c r="L214" s="82"/>
      <c r="M214" s="82"/>
      <c r="N214" s="82"/>
      <c r="O214" s="128">
        <f t="shared" si="49"/>
        <v>25000</v>
      </c>
      <c r="P214" s="448"/>
    </row>
    <row r="215" spans="2:16" s="49" customFormat="1" ht="12.75">
      <c r="B215" s="24"/>
      <c r="C215" s="14"/>
      <c r="D215" s="27">
        <v>4240</v>
      </c>
      <c r="E215" s="28" t="s">
        <v>149</v>
      </c>
      <c r="F215" s="42">
        <v>5000</v>
      </c>
      <c r="G215" s="230">
        <v>-4000</v>
      </c>
      <c r="H215" s="82"/>
      <c r="I215" s="82"/>
      <c r="J215" s="82"/>
      <c r="K215" s="82"/>
      <c r="L215" s="82"/>
      <c r="M215" s="82"/>
      <c r="N215" s="82"/>
      <c r="O215" s="128">
        <f t="shared" si="49"/>
        <v>1000</v>
      </c>
      <c r="P215" s="448"/>
    </row>
    <row r="216" spans="2:16" s="49" customFormat="1" ht="12.75">
      <c r="B216" s="24"/>
      <c r="C216" s="14"/>
      <c r="D216" s="27">
        <v>4260</v>
      </c>
      <c r="E216" s="28" t="s">
        <v>59</v>
      </c>
      <c r="F216" s="42">
        <v>128500</v>
      </c>
      <c r="G216" s="82"/>
      <c r="H216" s="82"/>
      <c r="I216" s="82"/>
      <c r="J216" s="82"/>
      <c r="K216" s="82"/>
      <c r="L216" s="82"/>
      <c r="M216" s="82"/>
      <c r="N216" s="82"/>
      <c r="O216" s="128">
        <f t="shared" si="49"/>
        <v>128500</v>
      </c>
      <c r="P216" s="448"/>
    </row>
    <row r="217" spans="2:16" s="49" customFormat="1" ht="12.75">
      <c r="B217" s="24"/>
      <c r="C217" s="14"/>
      <c r="D217" s="27">
        <v>4270</v>
      </c>
      <c r="E217" s="28" t="s">
        <v>40</v>
      </c>
      <c r="F217" s="42">
        <v>6000</v>
      </c>
      <c r="G217" s="82"/>
      <c r="H217" s="82"/>
      <c r="I217" s="82"/>
      <c r="J217" s="82"/>
      <c r="K217" s="82"/>
      <c r="L217" s="82"/>
      <c r="M217" s="82"/>
      <c r="N217" s="82"/>
      <c r="O217" s="128">
        <f t="shared" si="49"/>
        <v>6000</v>
      </c>
      <c r="P217" s="448"/>
    </row>
    <row r="218" spans="2:16" s="49" customFormat="1" ht="12.75">
      <c r="B218" s="24"/>
      <c r="C218" s="14"/>
      <c r="D218" s="27">
        <v>4280</v>
      </c>
      <c r="E218" s="28" t="s">
        <v>64</v>
      </c>
      <c r="F218" s="42">
        <v>3500</v>
      </c>
      <c r="G218" s="82"/>
      <c r="H218" s="82"/>
      <c r="I218" s="82"/>
      <c r="J218" s="82"/>
      <c r="K218" s="82"/>
      <c r="L218" s="82"/>
      <c r="M218" s="82"/>
      <c r="N218" s="82"/>
      <c r="O218" s="128">
        <f t="shared" si="49"/>
        <v>3500</v>
      </c>
      <c r="P218" s="448"/>
    </row>
    <row r="219" spans="2:16" s="49" customFormat="1" ht="12.75">
      <c r="B219" s="24"/>
      <c r="C219" s="14"/>
      <c r="D219" s="27">
        <v>4300</v>
      </c>
      <c r="E219" s="28" t="s">
        <v>41</v>
      </c>
      <c r="F219" s="42">
        <v>24000</v>
      </c>
      <c r="G219" s="82"/>
      <c r="H219" s="82"/>
      <c r="I219" s="82"/>
      <c r="J219" s="82"/>
      <c r="K219" s="82"/>
      <c r="L219" s="82"/>
      <c r="M219" s="82"/>
      <c r="N219" s="82"/>
      <c r="O219" s="128">
        <f t="shared" si="49"/>
        <v>24000</v>
      </c>
      <c r="P219" s="448"/>
    </row>
    <row r="220" spans="2:16" s="49" customFormat="1" ht="12.75">
      <c r="B220" s="24"/>
      <c r="C220" s="14"/>
      <c r="D220" s="27">
        <v>4350</v>
      </c>
      <c r="E220" s="28" t="s">
        <v>65</v>
      </c>
      <c r="F220" s="42">
        <v>4000</v>
      </c>
      <c r="G220" s="82"/>
      <c r="H220" s="82"/>
      <c r="I220" s="82"/>
      <c r="J220" s="82"/>
      <c r="K220" s="82"/>
      <c r="L220" s="82"/>
      <c r="M220" s="82"/>
      <c r="N220" s="82"/>
      <c r="O220" s="128">
        <f t="shared" si="49"/>
        <v>4000</v>
      </c>
      <c r="P220" s="448"/>
    </row>
    <row r="221" spans="2:16" s="49" customFormat="1" ht="38.25">
      <c r="B221" s="24"/>
      <c r="C221" s="14"/>
      <c r="D221" s="27">
        <v>4360</v>
      </c>
      <c r="E221" s="28" t="s">
        <v>66</v>
      </c>
      <c r="F221" s="42">
        <v>2000</v>
      </c>
      <c r="G221" s="82"/>
      <c r="H221" s="82"/>
      <c r="I221" s="82"/>
      <c r="J221" s="82"/>
      <c r="K221" s="82"/>
      <c r="L221" s="82"/>
      <c r="M221" s="82"/>
      <c r="N221" s="82"/>
      <c r="O221" s="128">
        <f t="shared" si="49"/>
        <v>2000</v>
      </c>
      <c r="P221" s="448"/>
    </row>
    <row r="222" spans="2:16" s="49" customFormat="1" ht="38.25">
      <c r="B222" s="24"/>
      <c r="C222" s="14"/>
      <c r="D222" s="27">
        <v>4370</v>
      </c>
      <c r="E222" s="28" t="s">
        <v>67</v>
      </c>
      <c r="F222" s="42">
        <v>4000</v>
      </c>
      <c r="G222" s="82"/>
      <c r="H222" s="82"/>
      <c r="I222" s="82"/>
      <c r="J222" s="82"/>
      <c r="K222" s="82"/>
      <c r="L222" s="82"/>
      <c r="M222" s="82"/>
      <c r="N222" s="82"/>
      <c r="O222" s="128">
        <f t="shared" si="49"/>
        <v>4000</v>
      </c>
      <c r="P222" s="448"/>
    </row>
    <row r="223" spans="2:16" s="49" customFormat="1" ht="12.75">
      <c r="B223" s="24"/>
      <c r="C223" s="14"/>
      <c r="D223" s="27">
        <v>4410</v>
      </c>
      <c r="E223" s="28" t="s">
        <v>60</v>
      </c>
      <c r="F223" s="42">
        <v>4000</v>
      </c>
      <c r="G223" s="82"/>
      <c r="H223" s="82"/>
      <c r="I223" s="82"/>
      <c r="J223" s="82"/>
      <c r="K223" s="82"/>
      <c r="L223" s="82"/>
      <c r="M223" s="82"/>
      <c r="N223" s="82"/>
      <c r="O223" s="128">
        <f t="shared" si="49"/>
        <v>4000</v>
      </c>
      <c r="P223" s="448"/>
    </row>
    <row r="224" spans="2:16" s="49" customFormat="1" ht="12.75">
      <c r="B224" s="24"/>
      <c r="C224" s="14"/>
      <c r="D224" s="27">
        <v>4420</v>
      </c>
      <c r="E224" s="28" t="s">
        <v>205</v>
      </c>
      <c r="F224" s="42">
        <v>500</v>
      </c>
      <c r="G224" s="82"/>
      <c r="H224" s="82"/>
      <c r="I224" s="82"/>
      <c r="J224" s="82"/>
      <c r="K224" s="82"/>
      <c r="L224" s="82"/>
      <c r="M224" s="82"/>
      <c r="N224" s="82"/>
      <c r="O224" s="128">
        <f t="shared" si="49"/>
        <v>500</v>
      </c>
      <c r="P224" s="448"/>
    </row>
    <row r="225" spans="2:16" s="49" customFormat="1" ht="12.75">
      <c r="B225" s="24"/>
      <c r="C225" s="14"/>
      <c r="D225" s="27">
        <v>4430</v>
      </c>
      <c r="E225" s="28" t="s">
        <v>150</v>
      </c>
      <c r="F225" s="42">
        <v>7000</v>
      </c>
      <c r="G225" s="82"/>
      <c r="H225" s="82"/>
      <c r="I225" s="82"/>
      <c r="J225" s="82"/>
      <c r="K225" s="82"/>
      <c r="L225" s="82"/>
      <c r="M225" s="82"/>
      <c r="N225" s="82"/>
      <c r="O225" s="128">
        <f t="shared" si="49"/>
        <v>7000</v>
      </c>
      <c r="P225" s="448"/>
    </row>
    <row r="226" spans="2:16" s="49" customFormat="1" ht="28.5" customHeight="1">
      <c r="B226" s="24"/>
      <c r="C226" s="14"/>
      <c r="D226" s="27">
        <v>4440</v>
      </c>
      <c r="E226" s="28" t="s">
        <v>68</v>
      </c>
      <c r="F226" s="42">
        <v>59700</v>
      </c>
      <c r="G226" s="82"/>
      <c r="H226" s="82"/>
      <c r="I226" s="82"/>
      <c r="J226" s="82"/>
      <c r="K226" s="82"/>
      <c r="L226" s="82"/>
      <c r="M226" s="82"/>
      <c r="N226" s="82"/>
      <c r="O226" s="128">
        <f t="shared" si="49"/>
        <v>59700</v>
      </c>
      <c r="P226" s="448"/>
    </row>
    <row r="227" spans="2:16" s="49" customFormat="1" ht="38.25">
      <c r="B227" s="24"/>
      <c r="C227" s="14"/>
      <c r="D227" s="27">
        <v>4740</v>
      </c>
      <c r="E227" s="28" t="s">
        <v>69</v>
      </c>
      <c r="F227" s="42">
        <v>3000</v>
      </c>
      <c r="G227" s="82"/>
      <c r="H227" s="82"/>
      <c r="I227" s="82"/>
      <c r="J227" s="82"/>
      <c r="K227" s="82"/>
      <c r="L227" s="82"/>
      <c r="M227" s="82"/>
      <c r="N227" s="82"/>
      <c r="O227" s="128">
        <f t="shared" si="49"/>
        <v>3000</v>
      </c>
      <c r="P227" s="448"/>
    </row>
    <row r="228" spans="2:16" s="49" customFormat="1" ht="28.5" customHeight="1">
      <c r="B228" s="24"/>
      <c r="C228" s="14"/>
      <c r="D228" s="27">
        <v>4750</v>
      </c>
      <c r="E228" s="28" t="s">
        <v>70</v>
      </c>
      <c r="F228" s="42">
        <v>5000</v>
      </c>
      <c r="G228" s="230">
        <v>-1000</v>
      </c>
      <c r="H228" s="82"/>
      <c r="I228" s="82"/>
      <c r="J228" s="82"/>
      <c r="K228" s="82"/>
      <c r="L228" s="82"/>
      <c r="M228" s="82"/>
      <c r="N228" s="82"/>
      <c r="O228" s="128">
        <f t="shared" si="49"/>
        <v>4000</v>
      </c>
      <c r="P228" s="448"/>
    </row>
    <row r="229" spans="2:16" s="49" customFormat="1" ht="28.5" customHeight="1" hidden="1">
      <c r="B229" s="24"/>
      <c r="C229" s="14"/>
      <c r="D229" s="27">
        <v>6050</v>
      </c>
      <c r="E229" s="28" t="s">
        <v>44</v>
      </c>
      <c r="F229" s="42"/>
      <c r="G229" s="82"/>
      <c r="H229" s="82"/>
      <c r="I229" s="82"/>
      <c r="J229" s="82"/>
      <c r="K229" s="82"/>
      <c r="L229" s="82"/>
      <c r="M229" s="82"/>
      <c r="N229" s="82"/>
      <c r="O229" s="128">
        <f t="shared" si="49"/>
        <v>0</v>
      </c>
      <c r="P229" s="255"/>
    </row>
    <row r="230" spans="2:16" s="49" customFormat="1" ht="28.5" customHeight="1" hidden="1">
      <c r="B230" s="24"/>
      <c r="C230" s="14"/>
      <c r="D230" s="27">
        <v>6060</v>
      </c>
      <c r="E230" s="28" t="s">
        <v>55</v>
      </c>
      <c r="F230" s="42"/>
      <c r="G230" s="82"/>
      <c r="H230" s="82"/>
      <c r="I230" s="82"/>
      <c r="J230" s="82"/>
      <c r="K230" s="82"/>
      <c r="L230" s="82"/>
      <c r="M230" s="82"/>
      <c r="N230" s="82"/>
      <c r="O230" s="128">
        <f t="shared" si="49"/>
        <v>0</v>
      </c>
      <c r="P230" s="199"/>
    </row>
    <row r="231" spans="2:16" s="49" customFormat="1" ht="12.75">
      <c r="B231" s="24"/>
      <c r="C231" s="14">
        <v>80113</v>
      </c>
      <c r="D231" s="14"/>
      <c r="E231" s="17" t="s">
        <v>154</v>
      </c>
      <c r="F231" s="57">
        <f>SUM(F232:F239)</f>
        <v>411300</v>
      </c>
      <c r="G231" s="252">
        <f>SUM(G232:G239)</f>
        <v>-30000</v>
      </c>
      <c r="H231" s="58">
        <f aca="true" t="shared" si="50" ref="H231:N231">SUM(H232:H239)</f>
        <v>0</v>
      </c>
      <c r="I231" s="58">
        <f t="shared" si="50"/>
        <v>0</v>
      </c>
      <c r="J231" s="58">
        <f t="shared" si="50"/>
        <v>0</v>
      </c>
      <c r="K231" s="58">
        <f t="shared" si="50"/>
        <v>0</v>
      </c>
      <c r="L231" s="58">
        <f t="shared" si="50"/>
        <v>0</v>
      </c>
      <c r="M231" s="58">
        <f t="shared" si="50"/>
        <v>0</v>
      </c>
      <c r="N231" s="58">
        <f t="shared" si="50"/>
        <v>0</v>
      </c>
      <c r="O231" s="162">
        <f>SUM(O232:O239)</f>
        <v>381300</v>
      </c>
      <c r="P231" s="219"/>
    </row>
    <row r="232" spans="2:16" s="49" customFormat="1" ht="28.5" customHeight="1">
      <c r="B232" s="24"/>
      <c r="C232" s="14"/>
      <c r="D232" s="27">
        <v>3020</v>
      </c>
      <c r="E232" s="28" t="s">
        <v>61</v>
      </c>
      <c r="F232" s="42">
        <v>300</v>
      </c>
      <c r="G232" s="82"/>
      <c r="H232" s="82"/>
      <c r="I232" s="82"/>
      <c r="J232" s="82"/>
      <c r="K232" s="82"/>
      <c r="L232" s="82"/>
      <c r="M232" s="82"/>
      <c r="N232" s="82"/>
      <c r="O232" s="128">
        <f aca="true" t="shared" si="51" ref="O232:O239">F232+G232+H232+I232+J232+K232+L232+M232+N232</f>
        <v>300</v>
      </c>
      <c r="P232" s="199"/>
    </row>
    <row r="233" spans="2:16" s="49" customFormat="1" ht="12.75">
      <c r="B233" s="24"/>
      <c r="C233" s="14"/>
      <c r="D233" s="27">
        <v>4010</v>
      </c>
      <c r="E233" s="28" t="s">
        <v>57</v>
      </c>
      <c r="F233" s="42">
        <v>30000</v>
      </c>
      <c r="G233" s="82"/>
      <c r="H233" s="82"/>
      <c r="I233" s="82"/>
      <c r="J233" s="82"/>
      <c r="K233" s="82"/>
      <c r="L233" s="82"/>
      <c r="M233" s="82"/>
      <c r="N233" s="82"/>
      <c r="O233" s="128">
        <f t="shared" si="51"/>
        <v>30000</v>
      </c>
      <c r="P233" s="199"/>
    </row>
    <row r="234" spans="2:16" s="49" customFormat="1" ht="12.75">
      <c r="B234" s="24"/>
      <c r="C234" s="14"/>
      <c r="D234" s="27">
        <v>4040</v>
      </c>
      <c r="E234" s="28" t="s">
        <v>62</v>
      </c>
      <c r="F234" s="42">
        <v>3350</v>
      </c>
      <c r="G234" s="82"/>
      <c r="H234" s="82"/>
      <c r="I234" s="82"/>
      <c r="J234" s="82"/>
      <c r="K234" s="82"/>
      <c r="L234" s="82"/>
      <c r="M234" s="82"/>
      <c r="N234" s="82"/>
      <c r="O234" s="128">
        <f t="shared" si="51"/>
        <v>3350</v>
      </c>
      <c r="P234" s="199"/>
    </row>
    <row r="235" spans="2:16" s="49" customFormat="1" ht="12.75">
      <c r="B235" s="24"/>
      <c r="C235" s="14"/>
      <c r="D235" s="27">
        <v>4110</v>
      </c>
      <c r="E235" s="28" t="s">
        <v>58</v>
      </c>
      <c r="F235" s="42">
        <v>4650</v>
      </c>
      <c r="G235" s="82"/>
      <c r="H235" s="82"/>
      <c r="I235" s="82"/>
      <c r="J235" s="82"/>
      <c r="K235" s="82"/>
      <c r="L235" s="82"/>
      <c r="M235" s="82"/>
      <c r="N235" s="82"/>
      <c r="O235" s="128">
        <f t="shared" si="51"/>
        <v>4650</v>
      </c>
      <c r="P235" s="199"/>
    </row>
    <row r="236" spans="2:16" s="49" customFormat="1" ht="12.75">
      <c r="B236" s="24"/>
      <c r="C236" s="14"/>
      <c r="D236" s="27">
        <v>4120</v>
      </c>
      <c r="E236" s="28" t="s">
        <v>146</v>
      </c>
      <c r="F236" s="42">
        <v>800</v>
      </c>
      <c r="G236" s="82"/>
      <c r="H236" s="82"/>
      <c r="I236" s="82"/>
      <c r="J236" s="82"/>
      <c r="K236" s="82"/>
      <c r="L236" s="82"/>
      <c r="M236" s="82"/>
      <c r="N236" s="82"/>
      <c r="O236" s="128">
        <f t="shared" si="51"/>
        <v>800</v>
      </c>
      <c r="P236" s="199"/>
    </row>
    <row r="237" spans="2:16" s="49" customFormat="1" ht="12.75">
      <c r="B237" s="24"/>
      <c r="C237" s="14"/>
      <c r="D237" s="27">
        <v>4280</v>
      </c>
      <c r="E237" s="28" t="s">
        <v>64</v>
      </c>
      <c r="F237" s="42">
        <v>400</v>
      </c>
      <c r="G237" s="82"/>
      <c r="H237" s="82"/>
      <c r="I237" s="82"/>
      <c r="J237" s="82"/>
      <c r="K237" s="82"/>
      <c r="L237" s="82"/>
      <c r="M237" s="82"/>
      <c r="N237" s="82"/>
      <c r="O237" s="128">
        <f t="shared" si="51"/>
        <v>400</v>
      </c>
      <c r="P237" s="199"/>
    </row>
    <row r="238" spans="2:16" s="49" customFormat="1" ht="12.75">
      <c r="B238" s="24"/>
      <c r="C238" s="27"/>
      <c r="D238" s="27">
        <v>4300</v>
      </c>
      <c r="E238" s="28" t="s">
        <v>41</v>
      </c>
      <c r="F238" s="42">
        <v>370000</v>
      </c>
      <c r="G238" s="230">
        <v>-30000</v>
      </c>
      <c r="H238" s="82"/>
      <c r="I238" s="82"/>
      <c r="J238" s="82"/>
      <c r="K238" s="82"/>
      <c r="L238" s="82"/>
      <c r="M238" s="82"/>
      <c r="N238" s="82"/>
      <c r="O238" s="128">
        <f t="shared" si="51"/>
        <v>340000</v>
      </c>
      <c r="P238" s="199" t="s">
        <v>288</v>
      </c>
    </row>
    <row r="239" spans="2:16" s="49" customFormat="1" ht="28.5" customHeight="1">
      <c r="B239" s="24"/>
      <c r="C239" s="27"/>
      <c r="D239" s="27">
        <v>4440</v>
      </c>
      <c r="E239" s="28" t="s">
        <v>68</v>
      </c>
      <c r="F239" s="42">
        <v>1800</v>
      </c>
      <c r="G239" s="82"/>
      <c r="H239" s="82"/>
      <c r="I239" s="82"/>
      <c r="J239" s="82"/>
      <c r="K239" s="82"/>
      <c r="L239" s="82"/>
      <c r="M239" s="82"/>
      <c r="N239" s="82"/>
      <c r="O239" s="128">
        <f t="shared" si="51"/>
        <v>1800</v>
      </c>
      <c r="P239" s="199"/>
    </row>
    <row r="240" spans="2:16" s="49" customFormat="1" ht="28.5" customHeight="1">
      <c r="B240" s="24"/>
      <c r="C240" s="14">
        <v>80114</v>
      </c>
      <c r="D240" s="14"/>
      <c r="E240" s="17" t="s">
        <v>76</v>
      </c>
      <c r="F240" s="57">
        <f>SUM(F241:F255)</f>
        <v>282000</v>
      </c>
      <c r="G240" s="252">
        <f>SUM(G241:G255)</f>
        <v>-9300</v>
      </c>
      <c r="H240" s="58">
        <f aca="true" t="shared" si="52" ref="H240:N240">SUM(H241:H255)</f>
        <v>0</v>
      </c>
      <c r="I240" s="58">
        <f t="shared" si="52"/>
        <v>0</v>
      </c>
      <c r="J240" s="58">
        <f t="shared" si="52"/>
        <v>0</v>
      </c>
      <c r="K240" s="58">
        <f t="shared" si="52"/>
        <v>0</v>
      </c>
      <c r="L240" s="58">
        <f t="shared" si="52"/>
        <v>0</v>
      </c>
      <c r="M240" s="58">
        <f t="shared" si="52"/>
        <v>0</v>
      </c>
      <c r="N240" s="58">
        <f t="shared" si="52"/>
        <v>0</v>
      </c>
      <c r="O240" s="162">
        <f>SUM(O241:O255)</f>
        <v>272700</v>
      </c>
      <c r="P240" s="219"/>
    </row>
    <row r="241" spans="2:16" s="49" customFormat="1" ht="28.5" customHeight="1">
      <c r="B241" s="24"/>
      <c r="C241" s="27"/>
      <c r="D241" s="27">
        <v>3020</v>
      </c>
      <c r="E241" s="28" t="s">
        <v>61</v>
      </c>
      <c r="F241" s="42">
        <v>700</v>
      </c>
      <c r="G241" s="230">
        <v>-300</v>
      </c>
      <c r="H241" s="82"/>
      <c r="I241" s="82"/>
      <c r="J241" s="82"/>
      <c r="K241" s="82"/>
      <c r="L241" s="82"/>
      <c r="M241" s="82"/>
      <c r="N241" s="82"/>
      <c r="O241" s="128">
        <f aca="true" t="shared" si="53" ref="O241:O255">F241+G241+H241+I241+J241+K241+L241+M241+N241</f>
        <v>400</v>
      </c>
      <c r="P241" s="446" t="s">
        <v>289</v>
      </c>
    </row>
    <row r="242" spans="2:16" s="49" customFormat="1" ht="12.75">
      <c r="B242" s="24"/>
      <c r="C242" s="27"/>
      <c r="D242" s="27">
        <v>4010</v>
      </c>
      <c r="E242" s="28" t="s">
        <v>57</v>
      </c>
      <c r="F242" s="42">
        <v>191750</v>
      </c>
      <c r="G242" s="82"/>
      <c r="H242" s="82"/>
      <c r="I242" s="82"/>
      <c r="J242" s="82"/>
      <c r="K242" s="82"/>
      <c r="L242" s="82"/>
      <c r="M242" s="82"/>
      <c r="N242" s="82"/>
      <c r="O242" s="128">
        <f t="shared" si="53"/>
        <v>191750</v>
      </c>
      <c r="P242" s="448"/>
    </row>
    <row r="243" spans="2:16" s="49" customFormat="1" ht="12.75">
      <c r="B243" s="24"/>
      <c r="C243" s="27"/>
      <c r="D243" s="27">
        <v>4040</v>
      </c>
      <c r="E243" s="28" t="s">
        <v>62</v>
      </c>
      <c r="F243" s="42">
        <v>11100</v>
      </c>
      <c r="G243" s="82"/>
      <c r="H243" s="82"/>
      <c r="I243" s="82"/>
      <c r="J243" s="82"/>
      <c r="K243" s="82"/>
      <c r="L243" s="82"/>
      <c r="M243" s="82"/>
      <c r="N243" s="82"/>
      <c r="O243" s="128">
        <f t="shared" si="53"/>
        <v>11100</v>
      </c>
      <c r="P243" s="448"/>
    </row>
    <row r="244" spans="2:16" s="49" customFormat="1" ht="12.75">
      <c r="B244" s="24"/>
      <c r="C244" s="27"/>
      <c r="D244" s="27">
        <v>4110</v>
      </c>
      <c r="E244" s="28" t="s">
        <v>58</v>
      </c>
      <c r="F244" s="42">
        <v>31150</v>
      </c>
      <c r="G244" s="82"/>
      <c r="H244" s="82"/>
      <c r="I244" s="82"/>
      <c r="J244" s="82"/>
      <c r="K244" s="82"/>
      <c r="L244" s="82"/>
      <c r="M244" s="82"/>
      <c r="N244" s="82"/>
      <c r="O244" s="128">
        <f t="shared" si="53"/>
        <v>31150</v>
      </c>
      <c r="P244" s="448"/>
    </row>
    <row r="245" spans="2:16" s="49" customFormat="1" ht="12.75">
      <c r="B245" s="24"/>
      <c r="C245" s="27"/>
      <c r="D245" s="27">
        <v>4120</v>
      </c>
      <c r="E245" s="28" t="s">
        <v>146</v>
      </c>
      <c r="F245" s="42">
        <v>5000</v>
      </c>
      <c r="G245" s="82"/>
      <c r="H245" s="82"/>
      <c r="I245" s="82"/>
      <c r="J245" s="82"/>
      <c r="K245" s="82"/>
      <c r="L245" s="82"/>
      <c r="M245" s="82"/>
      <c r="N245" s="82"/>
      <c r="O245" s="128">
        <f t="shared" si="53"/>
        <v>5000</v>
      </c>
      <c r="P245" s="448"/>
    </row>
    <row r="246" spans="2:16" s="49" customFormat="1" ht="12.75">
      <c r="B246" s="24"/>
      <c r="C246" s="27"/>
      <c r="D246" s="27">
        <v>4210</v>
      </c>
      <c r="E246" s="28" t="s">
        <v>39</v>
      </c>
      <c r="F246" s="42">
        <v>8000</v>
      </c>
      <c r="G246" s="82"/>
      <c r="H246" s="82"/>
      <c r="I246" s="82"/>
      <c r="J246" s="82"/>
      <c r="K246" s="82"/>
      <c r="L246" s="82"/>
      <c r="M246" s="82"/>
      <c r="N246" s="82"/>
      <c r="O246" s="128">
        <f t="shared" si="53"/>
        <v>8000</v>
      </c>
      <c r="P246" s="448"/>
    </row>
    <row r="247" spans="2:16" s="49" customFormat="1" ht="12.75" customHeight="1" hidden="1">
      <c r="B247" s="24"/>
      <c r="C247" s="27"/>
      <c r="D247" s="27">
        <v>4270</v>
      </c>
      <c r="E247" s="28" t="s">
        <v>40</v>
      </c>
      <c r="F247" s="42"/>
      <c r="G247" s="82"/>
      <c r="H247" s="82"/>
      <c r="I247" s="82"/>
      <c r="J247" s="82"/>
      <c r="K247" s="82"/>
      <c r="L247" s="82"/>
      <c r="M247" s="82"/>
      <c r="N247" s="82"/>
      <c r="O247" s="128">
        <f t="shared" si="53"/>
        <v>0</v>
      </c>
      <c r="P247" s="448"/>
    </row>
    <row r="248" spans="2:16" s="49" customFormat="1" ht="12.75">
      <c r="B248" s="24"/>
      <c r="C248" s="27"/>
      <c r="D248" s="27">
        <v>4280</v>
      </c>
      <c r="E248" s="28" t="s">
        <v>64</v>
      </c>
      <c r="F248" s="42">
        <v>500</v>
      </c>
      <c r="G248" s="82"/>
      <c r="H248" s="82"/>
      <c r="I248" s="82"/>
      <c r="J248" s="82"/>
      <c r="K248" s="82"/>
      <c r="L248" s="82"/>
      <c r="M248" s="82"/>
      <c r="N248" s="82"/>
      <c r="O248" s="128">
        <f t="shared" si="53"/>
        <v>500</v>
      </c>
      <c r="P248" s="448"/>
    </row>
    <row r="249" spans="2:16" s="49" customFormat="1" ht="12.75">
      <c r="B249" s="24"/>
      <c r="C249" s="27"/>
      <c r="D249" s="27">
        <v>4300</v>
      </c>
      <c r="E249" s="28" t="s">
        <v>41</v>
      </c>
      <c r="F249" s="42">
        <v>12000</v>
      </c>
      <c r="G249" s="82"/>
      <c r="H249" s="82"/>
      <c r="I249" s="82"/>
      <c r="J249" s="82"/>
      <c r="K249" s="82"/>
      <c r="L249" s="82"/>
      <c r="M249" s="82"/>
      <c r="N249" s="82"/>
      <c r="O249" s="128">
        <f t="shared" si="53"/>
        <v>12000</v>
      </c>
      <c r="P249" s="448"/>
    </row>
    <row r="250" spans="2:16" s="49" customFormat="1" ht="12.75">
      <c r="B250" s="24"/>
      <c r="C250" s="27"/>
      <c r="D250" s="27">
        <v>4410</v>
      </c>
      <c r="E250" s="28" t="s">
        <v>60</v>
      </c>
      <c r="F250" s="42">
        <v>2500</v>
      </c>
      <c r="G250" s="82"/>
      <c r="H250" s="82"/>
      <c r="I250" s="82"/>
      <c r="J250" s="82"/>
      <c r="K250" s="82"/>
      <c r="L250" s="82"/>
      <c r="M250" s="82"/>
      <c r="N250" s="82"/>
      <c r="O250" s="128">
        <f t="shared" si="53"/>
        <v>2500</v>
      </c>
      <c r="P250" s="448"/>
    </row>
    <row r="251" spans="2:16" s="49" customFormat="1" ht="28.5" customHeight="1">
      <c r="B251" s="24"/>
      <c r="C251" s="27"/>
      <c r="D251" s="27">
        <v>4440</v>
      </c>
      <c r="E251" s="28" t="s">
        <v>68</v>
      </c>
      <c r="F251" s="42">
        <v>4800</v>
      </c>
      <c r="G251" s="82"/>
      <c r="H251" s="82"/>
      <c r="I251" s="82"/>
      <c r="J251" s="82"/>
      <c r="K251" s="82"/>
      <c r="L251" s="82"/>
      <c r="M251" s="82"/>
      <c r="N251" s="82"/>
      <c r="O251" s="128">
        <f t="shared" si="53"/>
        <v>4800</v>
      </c>
      <c r="P251" s="448"/>
    </row>
    <row r="252" spans="2:16" s="49" customFormat="1" ht="28.5" customHeight="1">
      <c r="B252" s="24"/>
      <c r="C252" s="27"/>
      <c r="D252" s="27">
        <v>4700</v>
      </c>
      <c r="E252" s="28" t="s">
        <v>204</v>
      </c>
      <c r="F252" s="42"/>
      <c r="G252" s="82">
        <v>1000</v>
      </c>
      <c r="H252" s="82"/>
      <c r="I252" s="82"/>
      <c r="J252" s="82"/>
      <c r="K252" s="82"/>
      <c r="L252" s="82"/>
      <c r="M252" s="82"/>
      <c r="N252" s="82"/>
      <c r="O252" s="128">
        <f t="shared" si="53"/>
        <v>1000</v>
      </c>
      <c r="P252" s="448"/>
    </row>
    <row r="253" spans="2:16" s="49" customFormat="1" ht="38.25">
      <c r="B253" s="24"/>
      <c r="C253" s="27"/>
      <c r="D253" s="27">
        <v>4740</v>
      </c>
      <c r="E253" s="28" t="s">
        <v>69</v>
      </c>
      <c r="F253" s="42">
        <v>500</v>
      </c>
      <c r="G253" s="82"/>
      <c r="H253" s="82"/>
      <c r="I253" s="82"/>
      <c r="J253" s="82"/>
      <c r="K253" s="82"/>
      <c r="L253" s="82"/>
      <c r="M253" s="82"/>
      <c r="N253" s="82"/>
      <c r="O253" s="128">
        <f t="shared" si="53"/>
        <v>500</v>
      </c>
      <c r="P253" s="448"/>
    </row>
    <row r="254" spans="2:16" s="49" customFormat="1" ht="36.75" customHeight="1">
      <c r="B254" s="24"/>
      <c r="C254" s="27"/>
      <c r="D254" s="27">
        <v>4750</v>
      </c>
      <c r="E254" s="28" t="s">
        <v>70</v>
      </c>
      <c r="F254" s="42">
        <v>8000</v>
      </c>
      <c r="G254" s="230">
        <v>-4000</v>
      </c>
      <c r="H254" s="82"/>
      <c r="I254" s="82"/>
      <c r="J254" s="82"/>
      <c r="K254" s="82"/>
      <c r="L254" s="82"/>
      <c r="M254" s="82"/>
      <c r="N254" s="82"/>
      <c r="O254" s="128">
        <f t="shared" si="53"/>
        <v>4000</v>
      </c>
      <c r="P254" s="447"/>
    </row>
    <row r="255" spans="2:16" s="49" customFormat="1" ht="28.5" customHeight="1">
      <c r="B255" s="24"/>
      <c r="C255" s="27"/>
      <c r="D255" s="27">
        <v>6060</v>
      </c>
      <c r="E255" s="28" t="s">
        <v>55</v>
      </c>
      <c r="F255" s="42">
        <v>6000</v>
      </c>
      <c r="G255" s="230">
        <v>-6000</v>
      </c>
      <c r="H255" s="82"/>
      <c r="I255" s="82"/>
      <c r="J255" s="82"/>
      <c r="K255" s="82"/>
      <c r="L255" s="82"/>
      <c r="M255" s="82"/>
      <c r="N255" s="82"/>
      <c r="O255" s="128">
        <f t="shared" si="53"/>
        <v>0</v>
      </c>
      <c r="P255" s="199" t="s">
        <v>290</v>
      </c>
    </row>
    <row r="256" spans="2:16" s="49" customFormat="1" ht="28.5" customHeight="1">
      <c r="B256" s="24"/>
      <c r="C256" s="14">
        <v>80146</v>
      </c>
      <c r="D256" s="14"/>
      <c r="E256" s="17" t="s">
        <v>155</v>
      </c>
      <c r="F256" s="57">
        <f>SUM(F257:F259)</f>
        <v>33500</v>
      </c>
      <c r="G256" s="58">
        <f>SUM(G258:G259)</f>
        <v>0</v>
      </c>
      <c r="H256" s="58">
        <f aca="true" t="shared" si="54" ref="H256:N256">H258</f>
        <v>0</v>
      </c>
      <c r="I256" s="58">
        <f t="shared" si="54"/>
        <v>0</v>
      </c>
      <c r="J256" s="39">
        <f>SUM(J258:J259)</f>
        <v>0</v>
      </c>
      <c r="K256" s="58">
        <f t="shared" si="54"/>
        <v>0</v>
      </c>
      <c r="L256" s="58">
        <f t="shared" si="54"/>
        <v>0</v>
      </c>
      <c r="M256" s="58">
        <f t="shared" si="54"/>
        <v>0</v>
      </c>
      <c r="N256" s="58">
        <f t="shared" si="54"/>
        <v>0</v>
      </c>
      <c r="O256" s="162">
        <f>SUM(O257:O259)</f>
        <v>33500</v>
      </c>
      <c r="P256" s="219"/>
    </row>
    <row r="257" spans="2:16" s="49" customFormat="1" ht="28.5" customHeight="1">
      <c r="B257" s="24"/>
      <c r="C257" s="14"/>
      <c r="D257" s="27">
        <v>4210</v>
      </c>
      <c r="E257" s="28" t="s">
        <v>39</v>
      </c>
      <c r="F257" s="42">
        <v>2000</v>
      </c>
      <c r="G257" s="58"/>
      <c r="H257" s="58"/>
      <c r="I257" s="58"/>
      <c r="J257" s="39"/>
      <c r="K257" s="58"/>
      <c r="L257" s="58"/>
      <c r="M257" s="58"/>
      <c r="N257" s="58"/>
      <c r="O257" s="128">
        <f>F257+G257+H257+I257+J257+K257+L257+M257+N257</f>
        <v>2000</v>
      </c>
      <c r="P257" s="219"/>
    </row>
    <row r="258" spans="2:16" s="49" customFormat="1" ht="12.75">
      <c r="B258" s="24"/>
      <c r="C258" s="27"/>
      <c r="D258" s="27">
        <v>4300</v>
      </c>
      <c r="E258" s="28" t="s">
        <v>41</v>
      </c>
      <c r="F258" s="42">
        <v>28000</v>
      </c>
      <c r="G258" s="82"/>
      <c r="H258" s="82"/>
      <c r="I258" s="82"/>
      <c r="J258" s="82"/>
      <c r="K258" s="82"/>
      <c r="L258" s="82"/>
      <c r="M258" s="82"/>
      <c r="N258" s="82"/>
      <c r="O258" s="128">
        <f>F258+G258+H258+I258+J258+K258+L258+M258+N258</f>
        <v>28000</v>
      </c>
      <c r="P258" s="199"/>
    </row>
    <row r="259" spans="2:16" s="49" customFormat="1" ht="12.75">
      <c r="B259" s="24"/>
      <c r="C259" s="27"/>
      <c r="D259" s="27">
        <v>4410</v>
      </c>
      <c r="E259" s="28" t="s">
        <v>60</v>
      </c>
      <c r="F259" s="42">
        <v>3500</v>
      </c>
      <c r="G259" s="82"/>
      <c r="H259" s="82"/>
      <c r="I259" s="82"/>
      <c r="J259" s="82"/>
      <c r="K259" s="82"/>
      <c r="L259" s="82"/>
      <c r="M259" s="82"/>
      <c r="N259" s="82"/>
      <c r="O259" s="128">
        <f>F259+G259+H259+I259+J259+K259+L259+M259+N259</f>
        <v>3500</v>
      </c>
      <c r="P259" s="199"/>
    </row>
    <row r="260" spans="2:16" s="49" customFormat="1" ht="12.75" hidden="1">
      <c r="B260" s="24"/>
      <c r="C260" s="14">
        <v>80148</v>
      </c>
      <c r="D260" s="14"/>
      <c r="E260" s="17" t="s">
        <v>291</v>
      </c>
      <c r="F260" s="57">
        <f>SUM(F261:F271)</f>
        <v>0</v>
      </c>
      <c r="G260" s="82"/>
      <c r="H260" s="82"/>
      <c r="I260" s="82"/>
      <c r="J260" s="82"/>
      <c r="K260" s="82"/>
      <c r="L260" s="82"/>
      <c r="M260" s="82"/>
      <c r="N260" s="82"/>
      <c r="O260" s="128"/>
      <c r="P260" s="199"/>
    </row>
    <row r="261" spans="2:16" s="49" customFormat="1" ht="25.5" hidden="1">
      <c r="B261" s="24"/>
      <c r="C261" s="27"/>
      <c r="D261" s="27">
        <v>3020</v>
      </c>
      <c r="E261" s="28" t="s">
        <v>61</v>
      </c>
      <c r="F261" s="42"/>
      <c r="G261" s="82"/>
      <c r="H261" s="82"/>
      <c r="I261" s="82"/>
      <c r="J261" s="82"/>
      <c r="K261" s="82"/>
      <c r="L261" s="82"/>
      <c r="M261" s="82"/>
      <c r="N261" s="82"/>
      <c r="O261" s="128"/>
      <c r="P261" s="199"/>
    </row>
    <row r="262" spans="2:16" s="49" customFormat="1" ht="25.5" customHeight="1" hidden="1">
      <c r="B262" s="24"/>
      <c r="C262" s="27"/>
      <c r="D262" s="27">
        <v>4010</v>
      </c>
      <c r="E262" s="28" t="s">
        <v>57</v>
      </c>
      <c r="F262" s="42"/>
      <c r="G262" s="82"/>
      <c r="H262" s="82"/>
      <c r="I262" s="82"/>
      <c r="J262" s="82"/>
      <c r="K262" s="82"/>
      <c r="L262" s="82"/>
      <c r="M262" s="82"/>
      <c r="N262" s="82"/>
      <c r="O262" s="128"/>
      <c r="P262" s="199"/>
    </row>
    <row r="263" spans="2:16" s="49" customFormat="1" ht="25.5" customHeight="1" hidden="1">
      <c r="B263" s="24"/>
      <c r="C263" s="27"/>
      <c r="D263" s="27">
        <v>4040</v>
      </c>
      <c r="E263" s="28" t="s">
        <v>62</v>
      </c>
      <c r="F263" s="42"/>
      <c r="G263" s="82"/>
      <c r="H263" s="82"/>
      <c r="I263" s="82"/>
      <c r="J263" s="82"/>
      <c r="K263" s="82"/>
      <c r="L263" s="82"/>
      <c r="M263" s="82"/>
      <c r="N263" s="82"/>
      <c r="O263" s="128"/>
      <c r="P263" s="199"/>
    </row>
    <row r="264" spans="2:16" s="49" customFormat="1" ht="25.5" customHeight="1" hidden="1">
      <c r="B264" s="24"/>
      <c r="C264" s="27"/>
      <c r="D264" s="27">
        <v>4110</v>
      </c>
      <c r="E264" s="28" t="s">
        <v>58</v>
      </c>
      <c r="F264" s="42"/>
      <c r="G264" s="82"/>
      <c r="H264" s="82"/>
      <c r="I264" s="82"/>
      <c r="J264" s="82"/>
      <c r="K264" s="82"/>
      <c r="L264" s="82"/>
      <c r="M264" s="82"/>
      <c r="N264" s="82"/>
      <c r="O264" s="128"/>
      <c r="P264" s="199"/>
    </row>
    <row r="265" spans="2:16" s="49" customFormat="1" ht="12.75" customHeight="1" hidden="1">
      <c r="B265" s="24"/>
      <c r="C265" s="27"/>
      <c r="D265" s="27">
        <v>4120</v>
      </c>
      <c r="E265" s="28" t="s">
        <v>146</v>
      </c>
      <c r="F265" s="42"/>
      <c r="G265" s="82"/>
      <c r="H265" s="82"/>
      <c r="I265" s="82"/>
      <c r="J265" s="82"/>
      <c r="K265" s="82"/>
      <c r="L265" s="82"/>
      <c r="M265" s="82"/>
      <c r="N265" s="82"/>
      <c r="O265" s="128"/>
      <c r="P265" s="199"/>
    </row>
    <row r="266" spans="2:16" s="49" customFormat="1" ht="12.75" hidden="1">
      <c r="B266" s="24"/>
      <c r="C266" s="27"/>
      <c r="D266" s="27">
        <v>4210</v>
      </c>
      <c r="E266" s="28" t="s">
        <v>39</v>
      </c>
      <c r="F266" s="42"/>
      <c r="G266" s="82"/>
      <c r="H266" s="82"/>
      <c r="I266" s="82"/>
      <c r="J266" s="82"/>
      <c r="K266" s="82"/>
      <c r="L266" s="82"/>
      <c r="M266" s="82"/>
      <c r="N266" s="82"/>
      <c r="O266" s="128"/>
      <c r="P266" s="199"/>
    </row>
    <row r="267" spans="2:16" s="49" customFormat="1" ht="12.75" hidden="1">
      <c r="B267" s="24"/>
      <c r="C267" s="27"/>
      <c r="D267" s="27">
        <v>4280</v>
      </c>
      <c r="E267" s="28" t="s">
        <v>64</v>
      </c>
      <c r="F267" s="42"/>
      <c r="G267" s="82"/>
      <c r="H267" s="82"/>
      <c r="I267" s="82"/>
      <c r="J267" s="82"/>
      <c r="K267" s="82"/>
      <c r="L267" s="82"/>
      <c r="M267" s="82"/>
      <c r="N267" s="82"/>
      <c r="O267" s="128"/>
      <c r="P267" s="199"/>
    </row>
    <row r="268" spans="2:16" s="49" customFormat="1" ht="12.75" hidden="1">
      <c r="B268" s="24"/>
      <c r="C268" s="27"/>
      <c r="D268" s="27">
        <v>4300</v>
      </c>
      <c r="E268" s="28" t="s">
        <v>41</v>
      </c>
      <c r="F268" s="42"/>
      <c r="G268" s="82"/>
      <c r="H268" s="82"/>
      <c r="I268" s="82"/>
      <c r="J268" s="82"/>
      <c r="K268" s="82"/>
      <c r="L268" s="82"/>
      <c r="M268" s="82"/>
      <c r="N268" s="82"/>
      <c r="O268" s="128"/>
      <c r="P268" s="199"/>
    </row>
    <row r="269" spans="2:16" s="49" customFormat="1" ht="12.75" hidden="1">
      <c r="B269" s="24"/>
      <c r="C269" s="27"/>
      <c r="D269" s="27">
        <v>4410</v>
      </c>
      <c r="E269" s="28" t="s">
        <v>60</v>
      </c>
      <c r="F269" s="42"/>
      <c r="G269" s="82"/>
      <c r="H269" s="82"/>
      <c r="I269" s="82"/>
      <c r="J269" s="82"/>
      <c r="K269" s="82"/>
      <c r="L269" s="82"/>
      <c r="M269" s="82"/>
      <c r="N269" s="82"/>
      <c r="O269" s="128"/>
      <c r="P269" s="199"/>
    </row>
    <row r="270" spans="2:16" s="49" customFormat="1" ht="25.5" hidden="1">
      <c r="B270" s="24"/>
      <c r="C270" s="27"/>
      <c r="D270" s="27">
        <v>4440</v>
      </c>
      <c r="E270" s="28" t="s">
        <v>68</v>
      </c>
      <c r="F270" s="42"/>
      <c r="G270" s="82"/>
      <c r="H270" s="82"/>
      <c r="I270" s="82"/>
      <c r="J270" s="82"/>
      <c r="K270" s="82"/>
      <c r="L270" s="82"/>
      <c r="M270" s="82"/>
      <c r="N270" s="82"/>
      <c r="O270" s="128"/>
      <c r="P270" s="199"/>
    </row>
    <row r="271" spans="2:16" s="49" customFormat="1" ht="38.25" hidden="1">
      <c r="B271" s="24"/>
      <c r="C271" s="27"/>
      <c r="D271" s="27">
        <v>4740</v>
      </c>
      <c r="E271" s="28" t="s">
        <v>69</v>
      </c>
      <c r="F271" s="42"/>
      <c r="G271" s="82"/>
      <c r="H271" s="82"/>
      <c r="I271" s="82"/>
      <c r="J271" s="82"/>
      <c r="K271" s="82"/>
      <c r="L271" s="82"/>
      <c r="M271" s="82"/>
      <c r="N271" s="82"/>
      <c r="O271" s="128"/>
      <c r="P271" s="199"/>
    </row>
    <row r="272" spans="2:16" s="49" customFormat="1" ht="12.75">
      <c r="B272" s="24"/>
      <c r="C272" s="14">
        <v>80195</v>
      </c>
      <c r="D272" s="14"/>
      <c r="E272" s="17" t="s">
        <v>34</v>
      </c>
      <c r="F272" s="57">
        <f>SUM(F273:F275)</f>
        <v>57883</v>
      </c>
      <c r="G272" s="58">
        <f>SUM(G273:G275)</f>
        <v>0</v>
      </c>
      <c r="H272" s="58">
        <f aca="true" t="shared" si="55" ref="H272:N272">SUM(H273:H275)</f>
        <v>0</v>
      </c>
      <c r="I272" s="58">
        <f t="shared" si="55"/>
        <v>0</v>
      </c>
      <c r="J272" s="58">
        <f>SUM(J273:J276)</f>
        <v>0</v>
      </c>
      <c r="K272" s="58">
        <f>SUM(K273:K276)</f>
        <v>0</v>
      </c>
      <c r="L272" s="58">
        <f t="shared" si="55"/>
        <v>0</v>
      </c>
      <c r="M272" s="58">
        <f t="shared" si="55"/>
        <v>0</v>
      </c>
      <c r="N272" s="58">
        <f t="shared" si="55"/>
        <v>0</v>
      </c>
      <c r="O272" s="162">
        <f>SUM(O273:O276)</f>
        <v>57883</v>
      </c>
      <c r="P272" s="219"/>
    </row>
    <row r="273" spans="2:16" s="49" customFormat="1" ht="12.75" customHeight="1" hidden="1">
      <c r="B273" s="29"/>
      <c r="C273" s="27"/>
      <c r="D273" s="27">
        <v>4170</v>
      </c>
      <c r="E273" s="28" t="s">
        <v>63</v>
      </c>
      <c r="F273" s="42"/>
      <c r="G273" s="82"/>
      <c r="H273" s="82"/>
      <c r="I273" s="82"/>
      <c r="J273" s="82"/>
      <c r="K273" s="82"/>
      <c r="L273" s="82"/>
      <c r="M273" s="82"/>
      <c r="N273" s="82"/>
      <c r="O273" s="128">
        <f>F273+G273+H273+I273+J273+K273+L273+M273+N273</f>
        <v>0</v>
      </c>
      <c r="P273" s="199"/>
    </row>
    <row r="274" spans="2:16" s="49" customFormat="1" ht="12.75">
      <c r="B274" s="29"/>
      <c r="C274" s="27"/>
      <c r="D274" s="27">
        <v>4300</v>
      </c>
      <c r="E274" s="28" t="s">
        <v>41</v>
      </c>
      <c r="F274" s="106">
        <v>17883</v>
      </c>
      <c r="G274" s="82"/>
      <c r="H274" s="82"/>
      <c r="I274" s="82"/>
      <c r="J274" s="82"/>
      <c r="K274" s="82"/>
      <c r="L274" s="82"/>
      <c r="M274" s="82"/>
      <c r="N274" s="82"/>
      <c r="O274" s="128">
        <f>F274+G274+H274+I274+J274+K274+L274+M274+N274</f>
        <v>17883</v>
      </c>
      <c r="P274" s="199"/>
    </row>
    <row r="275" spans="2:16" s="49" customFormat="1" ht="25.5">
      <c r="B275" s="24"/>
      <c r="C275" s="27"/>
      <c r="D275" s="27">
        <v>4440</v>
      </c>
      <c r="E275" s="28" t="s">
        <v>68</v>
      </c>
      <c r="F275" s="42">
        <v>40000</v>
      </c>
      <c r="G275" s="82"/>
      <c r="H275" s="82"/>
      <c r="I275" s="82"/>
      <c r="J275" s="82"/>
      <c r="K275" s="82"/>
      <c r="L275" s="82"/>
      <c r="M275" s="82"/>
      <c r="N275" s="82"/>
      <c r="O275" s="128">
        <f>F275+G275+H275+I275+J275+K275+L275+M275+N275</f>
        <v>40000</v>
      </c>
      <c r="P275" s="199"/>
    </row>
    <row r="276" spans="2:16" s="49" customFormat="1" ht="25.5" customHeight="1" hidden="1">
      <c r="B276" s="24"/>
      <c r="C276" s="27"/>
      <c r="D276" s="27">
        <v>6060</v>
      </c>
      <c r="E276" s="28" t="s">
        <v>55</v>
      </c>
      <c r="F276" s="42"/>
      <c r="G276" s="82"/>
      <c r="H276" s="82"/>
      <c r="I276" s="82"/>
      <c r="J276" s="82"/>
      <c r="K276" s="82"/>
      <c r="L276" s="82"/>
      <c r="M276" s="82"/>
      <c r="N276" s="82"/>
      <c r="O276" s="128">
        <f>F276+G276+H276+I276+J276+K276+L276+M276+N276</f>
        <v>0</v>
      </c>
      <c r="P276" s="199"/>
    </row>
    <row r="277" spans="2:16" s="49" customFormat="1" ht="12.75">
      <c r="B277" s="30">
        <v>851</v>
      </c>
      <c r="C277" s="41"/>
      <c r="D277" s="41"/>
      <c r="E277" s="32" t="s">
        <v>89</v>
      </c>
      <c r="F277" s="65">
        <f>F284+F278+F296</f>
        <v>95000</v>
      </c>
      <c r="G277" s="66">
        <f>G284+G278</f>
        <v>13868</v>
      </c>
      <c r="H277" s="66">
        <f>H284+H278</f>
        <v>0</v>
      </c>
      <c r="I277" s="66">
        <f>I284+I278</f>
        <v>0</v>
      </c>
      <c r="J277" s="66">
        <f>J284+J278</f>
        <v>0</v>
      </c>
      <c r="K277" s="66">
        <f>K278+K284+K296</f>
        <v>0</v>
      </c>
      <c r="L277" s="66">
        <f>L278+L284+L296</f>
        <v>0</v>
      </c>
      <c r="M277" s="66">
        <f>M278+M284+M296</f>
        <v>0</v>
      </c>
      <c r="N277" s="66">
        <f>N278+N284+N296</f>
        <v>0</v>
      </c>
      <c r="O277" s="65">
        <f>O278+O284+O296</f>
        <v>108868</v>
      </c>
      <c r="P277" s="220"/>
    </row>
    <row r="278" spans="2:16" s="69" customFormat="1" ht="12.75">
      <c r="B278" s="33"/>
      <c r="C278" s="36">
        <v>85153</v>
      </c>
      <c r="D278" s="111"/>
      <c r="E278" s="131" t="s">
        <v>216</v>
      </c>
      <c r="F278" s="38">
        <f>SUM(F279:F283)</f>
        <v>14000</v>
      </c>
      <c r="G278" s="39">
        <f>SUM(G279:G283)</f>
        <v>2868</v>
      </c>
      <c r="H278" s="39">
        <f aca="true" t="shared" si="56" ref="H278:N278">SUM(H279:H283)</f>
        <v>0</v>
      </c>
      <c r="I278" s="39">
        <f t="shared" si="56"/>
        <v>0</v>
      </c>
      <c r="J278" s="39">
        <f t="shared" si="56"/>
        <v>0</v>
      </c>
      <c r="K278" s="39">
        <f t="shared" si="56"/>
        <v>0</v>
      </c>
      <c r="L278" s="39">
        <f t="shared" si="56"/>
        <v>0</v>
      </c>
      <c r="M278" s="39">
        <f t="shared" si="56"/>
        <v>0</v>
      </c>
      <c r="N278" s="39">
        <f t="shared" si="56"/>
        <v>0</v>
      </c>
      <c r="O278" s="162">
        <f>SUM(O279:O283)</f>
        <v>16868</v>
      </c>
      <c r="P278" s="221"/>
    </row>
    <row r="279" spans="2:16" s="69" customFormat="1" ht="12.75" customHeight="1">
      <c r="B279" s="33"/>
      <c r="C279" s="111"/>
      <c r="D279" s="27">
        <v>4210</v>
      </c>
      <c r="E279" s="28" t="s">
        <v>39</v>
      </c>
      <c r="F279" s="37">
        <v>3700</v>
      </c>
      <c r="G279" s="40"/>
      <c r="H279" s="40"/>
      <c r="I279" s="40"/>
      <c r="J279" s="40"/>
      <c r="K279" s="40"/>
      <c r="L279" s="40"/>
      <c r="M279" s="40"/>
      <c r="N279" s="40"/>
      <c r="O279" s="128">
        <f>F279+G279+H279+I279+J279+K279+L279+M279+N279</f>
        <v>3700</v>
      </c>
      <c r="P279" s="205"/>
    </row>
    <row r="280" spans="2:16" s="69" customFormat="1" ht="12.75">
      <c r="B280" s="33"/>
      <c r="C280" s="111"/>
      <c r="D280" s="27">
        <v>4300</v>
      </c>
      <c r="E280" s="28" t="s">
        <v>41</v>
      </c>
      <c r="F280" s="37">
        <v>10000</v>
      </c>
      <c r="G280" s="82">
        <v>2000</v>
      </c>
      <c r="H280" s="40"/>
      <c r="I280" s="40"/>
      <c r="J280" s="40"/>
      <c r="K280" s="40"/>
      <c r="L280" s="40"/>
      <c r="M280" s="40"/>
      <c r="N280" s="40"/>
      <c r="O280" s="128">
        <f>F280+G280+H280+I280+J280+K280+L280+M280+N280</f>
        <v>12000</v>
      </c>
      <c r="P280" s="449" t="s">
        <v>292</v>
      </c>
    </row>
    <row r="281" spans="2:16" s="69" customFormat="1" ht="12.75">
      <c r="B281" s="33"/>
      <c r="C281" s="111"/>
      <c r="D281" s="27">
        <v>4410</v>
      </c>
      <c r="E281" s="28" t="s">
        <v>60</v>
      </c>
      <c r="F281" s="37">
        <v>200</v>
      </c>
      <c r="G281" s="40"/>
      <c r="H281" s="40"/>
      <c r="I281" s="40"/>
      <c r="J281" s="40"/>
      <c r="K281" s="40"/>
      <c r="L281" s="40"/>
      <c r="M281" s="40"/>
      <c r="N281" s="40"/>
      <c r="O281" s="128">
        <f>F281+G281+H281+I281+J281+K281+L281+M281+N281</f>
        <v>200</v>
      </c>
      <c r="P281" s="450"/>
    </row>
    <row r="282" spans="2:16" s="69" customFormat="1" ht="25.5">
      <c r="B282" s="33"/>
      <c r="C282" s="111"/>
      <c r="D282" s="27">
        <v>4700</v>
      </c>
      <c r="E282" s="28" t="s">
        <v>204</v>
      </c>
      <c r="F282" s="37"/>
      <c r="G282" s="40">
        <v>868</v>
      </c>
      <c r="H282" s="40"/>
      <c r="I282" s="40"/>
      <c r="J282" s="40"/>
      <c r="K282" s="40"/>
      <c r="L282" s="40"/>
      <c r="M282" s="40"/>
      <c r="N282" s="40"/>
      <c r="O282" s="128">
        <f>F282+G282+H282+I282+J282+K282+L282+M282+N282</f>
        <v>868</v>
      </c>
      <c r="P282" s="450"/>
    </row>
    <row r="283" spans="2:16" s="69" customFormat="1" ht="38.25">
      <c r="B283" s="33"/>
      <c r="C283" s="111"/>
      <c r="D283" s="27">
        <v>4740</v>
      </c>
      <c r="E283" s="28" t="s">
        <v>69</v>
      </c>
      <c r="F283" s="37">
        <v>100</v>
      </c>
      <c r="G283" s="40"/>
      <c r="H283" s="40"/>
      <c r="I283" s="40"/>
      <c r="J283" s="40"/>
      <c r="K283" s="40"/>
      <c r="L283" s="40"/>
      <c r="M283" s="40"/>
      <c r="N283" s="40"/>
      <c r="O283" s="128">
        <f>F283+G283+H283+I283+J283+K283+L283+M283+N283</f>
        <v>100</v>
      </c>
      <c r="P283" s="450"/>
    </row>
    <row r="284" spans="2:16" s="49" customFormat="1" ht="12.75">
      <c r="B284" s="24"/>
      <c r="C284" s="14">
        <v>85154</v>
      </c>
      <c r="D284" s="14"/>
      <c r="E284" s="17" t="s">
        <v>90</v>
      </c>
      <c r="F284" s="57">
        <f>SUM(F285:F295)</f>
        <v>71000</v>
      </c>
      <c r="G284" s="58">
        <f>SUM(G285:G295)</f>
        <v>11000</v>
      </c>
      <c r="H284" s="58">
        <f aca="true" t="shared" si="57" ref="H284:N284">SUM(H285:H294)</f>
        <v>0</v>
      </c>
      <c r="I284" s="58">
        <f t="shared" si="57"/>
        <v>0</v>
      </c>
      <c r="J284" s="58">
        <f>SUM(J285:J295)</f>
        <v>0</v>
      </c>
      <c r="K284" s="58">
        <f t="shared" si="57"/>
        <v>0</v>
      </c>
      <c r="L284" s="58">
        <f t="shared" si="57"/>
        <v>0</v>
      </c>
      <c r="M284" s="58">
        <f t="shared" si="57"/>
        <v>0</v>
      </c>
      <c r="N284" s="58">
        <f t="shared" si="57"/>
        <v>0</v>
      </c>
      <c r="O284" s="162">
        <f>SUM(O285:O295)</f>
        <v>82000</v>
      </c>
      <c r="P284" s="450"/>
    </row>
    <row r="285" spans="2:16" s="49" customFormat="1" ht="38.25">
      <c r="B285" s="24"/>
      <c r="C285" s="14"/>
      <c r="D285" s="27">
        <v>2820</v>
      </c>
      <c r="E285" s="28" t="s">
        <v>196</v>
      </c>
      <c r="F285" s="42">
        <v>4000</v>
      </c>
      <c r="G285" s="82"/>
      <c r="H285" s="82"/>
      <c r="I285" s="82"/>
      <c r="J285" s="82"/>
      <c r="K285" s="82"/>
      <c r="L285" s="82"/>
      <c r="M285" s="82"/>
      <c r="N285" s="82"/>
      <c r="O285" s="128">
        <f aca="true" t="shared" si="58" ref="O285:O295">F285+G285+H285+I285+J285+K285+L285+M285+N285</f>
        <v>4000</v>
      </c>
      <c r="P285" s="450"/>
    </row>
    <row r="286" spans="2:16" s="49" customFormat="1" ht="12.75">
      <c r="B286" s="24"/>
      <c r="C286" s="14"/>
      <c r="D286" s="27">
        <v>4170</v>
      </c>
      <c r="E286" s="28" t="s">
        <v>63</v>
      </c>
      <c r="F286" s="42">
        <v>20000</v>
      </c>
      <c r="G286" s="82"/>
      <c r="H286" s="82"/>
      <c r="I286" s="82"/>
      <c r="J286" s="82"/>
      <c r="K286" s="82"/>
      <c r="L286" s="82"/>
      <c r="M286" s="82"/>
      <c r="N286" s="82"/>
      <c r="O286" s="128">
        <f t="shared" si="58"/>
        <v>20000</v>
      </c>
      <c r="P286" s="450"/>
    </row>
    <row r="287" spans="2:16" s="49" customFormat="1" ht="12.75">
      <c r="B287" s="24"/>
      <c r="C287" s="27"/>
      <c r="D287" s="27">
        <v>4210</v>
      </c>
      <c r="E287" s="28" t="s">
        <v>39</v>
      </c>
      <c r="F287" s="42">
        <v>19300</v>
      </c>
      <c r="G287" s="82"/>
      <c r="H287" s="82"/>
      <c r="I287" s="82"/>
      <c r="J287" s="82"/>
      <c r="K287" s="82"/>
      <c r="L287" s="82"/>
      <c r="M287" s="82"/>
      <c r="N287" s="82"/>
      <c r="O287" s="128">
        <f t="shared" si="58"/>
        <v>19300</v>
      </c>
      <c r="P287" s="450"/>
    </row>
    <row r="288" spans="2:16" s="49" customFormat="1" ht="12.75">
      <c r="B288" s="24"/>
      <c r="C288" s="27"/>
      <c r="D288" s="27">
        <v>4260</v>
      </c>
      <c r="E288" s="28" t="s">
        <v>59</v>
      </c>
      <c r="F288" s="42">
        <v>6000</v>
      </c>
      <c r="G288" s="82"/>
      <c r="H288" s="82"/>
      <c r="I288" s="82"/>
      <c r="J288" s="82"/>
      <c r="K288" s="82"/>
      <c r="L288" s="82"/>
      <c r="M288" s="82"/>
      <c r="N288" s="82"/>
      <c r="O288" s="128">
        <f t="shared" si="58"/>
        <v>6000</v>
      </c>
      <c r="P288" s="450"/>
    </row>
    <row r="289" spans="2:16" s="49" customFormat="1" ht="12.75">
      <c r="B289" s="24"/>
      <c r="C289" s="27"/>
      <c r="D289" s="27">
        <v>4270</v>
      </c>
      <c r="E289" s="28" t="s">
        <v>40</v>
      </c>
      <c r="F289" s="42">
        <v>6000</v>
      </c>
      <c r="G289" s="82">
        <v>5000</v>
      </c>
      <c r="H289" s="82"/>
      <c r="I289" s="82"/>
      <c r="J289" s="82"/>
      <c r="K289" s="82"/>
      <c r="L289" s="82"/>
      <c r="M289" s="82"/>
      <c r="N289" s="82"/>
      <c r="O289" s="128">
        <f t="shared" si="58"/>
        <v>11000</v>
      </c>
      <c r="P289" s="450"/>
    </row>
    <row r="290" spans="2:16" s="49" customFormat="1" ht="12.75">
      <c r="B290" s="24"/>
      <c r="C290" s="27"/>
      <c r="D290" s="27">
        <v>4300</v>
      </c>
      <c r="E290" s="28" t="s">
        <v>41</v>
      </c>
      <c r="F290" s="42">
        <v>14000</v>
      </c>
      <c r="G290" s="82"/>
      <c r="H290" s="82"/>
      <c r="I290" s="82"/>
      <c r="J290" s="82"/>
      <c r="K290" s="82"/>
      <c r="L290" s="82"/>
      <c r="M290" s="82"/>
      <c r="N290" s="82"/>
      <c r="O290" s="128">
        <f t="shared" si="58"/>
        <v>14000</v>
      </c>
      <c r="P290" s="450"/>
    </row>
    <row r="291" spans="2:16" s="49" customFormat="1" ht="38.25">
      <c r="B291" s="24"/>
      <c r="C291" s="27"/>
      <c r="D291" s="27">
        <v>4370</v>
      </c>
      <c r="E291" s="28" t="s">
        <v>67</v>
      </c>
      <c r="F291" s="42">
        <v>700</v>
      </c>
      <c r="G291" s="82"/>
      <c r="H291" s="82"/>
      <c r="I291" s="82"/>
      <c r="J291" s="82"/>
      <c r="K291" s="82"/>
      <c r="L291" s="82"/>
      <c r="M291" s="82"/>
      <c r="N291" s="82"/>
      <c r="O291" s="128">
        <f t="shared" si="58"/>
        <v>700</v>
      </c>
      <c r="P291" s="450"/>
    </row>
    <row r="292" spans="2:16" s="49" customFormat="1" ht="12.75">
      <c r="B292" s="24"/>
      <c r="C292" s="27"/>
      <c r="D292" s="27">
        <v>4410</v>
      </c>
      <c r="E292" s="28" t="s">
        <v>60</v>
      </c>
      <c r="F292" s="42">
        <v>300</v>
      </c>
      <c r="G292" s="82"/>
      <c r="H292" s="82"/>
      <c r="I292" s="82"/>
      <c r="J292" s="82"/>
      <c r="K292" s="82"/>
      <c r="L292" s="82"/>
      <c r="M292" s="82"/>
      <c r="N292" s="82"/>
      <c r="O292" s="128">
        <f t="shared" si="58"/>
        <v>300</v>
      </c>
      <c r="P292" s="450"/>
    </row>
    <row r="293" spans="2:16" s="49" customFormat="1" ht="12.75">
      <c r="B293" s="24"/>
      <c r="C293" s="27"/>
      <c r="D293" s="27">
        <v>4430</v>
      </c>
      <c r="E293" s="28" t="s">
        <v>46</v>
      </c>
      <c r="F293" s="42">
        <v>500</v>
      </c>
      <c r="G293" s="82"/>
      <c r="H293" s="82"/>
      <c r="I293" s="82"/>
      <c r="J293" s="82"/>
      <c r="K293" s="82"/>
      <c r="L293" s="82"/>
      <c r="M293" s="82"/>
      <c r="N293" s="82"/>
      <c r="O293" s="128">
        <f t="shared" si="58"/>
        <v>500</v>
      </c>
      <c r="P293" s="450"/>
    </row>
    <row r="294" spans="2:16" s="49" customFormat="1" ht="38.25">
      <c r="B294" s="24"/>
      <c r="C294" s="27"/>
      <c r="D294" s="27">
        <v>4740</v>
      </c>
      <c r="E294" s="28" t="s">
        <v>69</v>
      </c>
      <c r="F294" s="42">
        <v>200</v>
      </c>
      <c r="G294" s="82"/>
      <c r="H294" s="82"/>
      <c r="I294" s="82"/>
      <c r="J294" s="82"/>
      <c r="K294" s="82"/>
      <c r="L294" s="82"/>
      <c r="M294" s="82"/>
      <c r="N294" s="82"/>
      <c r="O294" s="128">
        <f t="shared" si="58"/>
        <v>200</v>
      </c>
      <c r="P294" s="451"/>
    </row>
    <row r="295" spans="2:16" s="49" customFormat="1" ht="28.5" customHeight="1">
      <c r="B295" s="24"/>
      <c r="C295" s="14"/>
      <c r="D295" s="27">
        <v>6060</v>
      </c>
      <c r="E295" s="28" t="s">
        <v>55</v>
      </c>
      <c r="F295" s="57"/>
      <c r="G295" s="82">
        <v>6000</v>
      </c>
      <c r="H295" s="58"/>
      <c r="I295" s="58"/>
      <c r="J295" s="82"/>
      <c r="K295" s="58"/>
      <c r="L295" s="58"/>
      <c r="M295" s="58"/>
      <c r="N295" s="58"/>
      <c r="O295" s="128">
        <f t="shared" si="58"/>
        <v>6000</v>
      </c>
      <c r="P295" s="199" t="s">
        <v>293</v>
      </c>
    </row>
    <row r="296" spans="2:16" s="49" customFormat="1" ht="12.75">
      <c r="B296" s="24"/>
      <c r="C296" s="14">
        <v>85195</v>
      </c>
      <c r="D296" s="14"/>
      <c r="E296" s="17" t="s">
        <v>34</v>
      </c>
      <c r="F296" s="57">
        <f>F297</f>
        <v>10000</v>
      </c>
      <c r="G296" s="58">
        <f aca="true" t="shared" si="59" ref="G296:O296">G297</f>
        <v>0</v>
      </c>
      <c r="H296" s="58">
        <f t="shared" si="59"/>
        <v>0</v>
      </c>
      <c r="I296" s="58">
        <f t="shared" si="59"/>
        <v>0</v>
      </c>
      <c r="J296" s="58">
        <f t="shared" si="59"/>
        <v>0</v>
      </c>
      <c r="K296" s="58">
        <f t="shared" si="59"/>
        <v>0</v>
      </c>
      <c r="L296" s="58">
        <f t="shared" si="59"/>
        <v>0</v>
      </c>
      <c r="M296" s="58">
        <f t="shared" si="59"/>
        <v>0</v>
      </c>
      <c r="N296" s="58">
        <f t="shared" si="59"/>
        <v>0</v>
      </c>
      <c r="O296" s="162">
        <f t="shared" si="59"/>
        <v>10000</v>
      </c>
      <c r="P296" s="219"/>
    </row>
    <row r="297" spans="2:16" s="49" customFormat="1" ht="28.5" customHeight="1">
      <c r="B297" s="24"/>
      <c r="C297" s="14"/>
      <c r="D297" s="27">
        <v>6050</v>
      </c>
      <c r="E297" s="28" t="s">
        <v>44</v>
      </c>
      <c r="F297" s="42">
        <v>10000</v>
      </c>
      <c r="G297" s="82"/>
      <c r="H297" s="58"/>
      <c r="I297" s="58"/>
      <c r="J297" s="82"/>
      <c r="K297" s="82"/>
      <c r="L297" s="58"/>
      <c r="M297" s="58"/>
      <c r="N297" s="58"/>
      <c r="O297" s="128">
        <f>F297+G297+H297+I297+J297+K297+L297+M297+N297</f>
        <v>10000</v>
      </c>
      <c r="P297" s="199"/>
    </row>
    <row r="298" spans="2:16" s="49" customFormat="1" ht="12.75">
      <c r="B298" s="30">
        <v>852</v>
      </c>
      <c r="C298" s="41"/>
      <c r="D298" s="41"/>
      <c r="E298" s="32" t="s">
        <v>167</v>
      </c>
      <c r="F298" s="65">
        <f>F308+F310+F314+F316+F338+F342+F299</f>
        <v>2751600</v>
      </c>
      <c r="G298" s="254">
        <f aca="true" t="shared" si="60" ref="G298:N298">G308+G310+G314+G316+G338+G342+G299</f>
        <v>-86573</v>
      </c>
      <c r="H298" s="66">
        <f t="shared" si="60"/>
        <v>0</v>
      </c>
      <c r="I298" s="66">
        <f t="shared" si="60"/>
        <v>0</v>
      </c>
      <c r="J298" s="66">
        <f t="shared" si="60"/>
        <v>0</v>
      </c>
      <c r="K298" s="66">
        <f t="shared" si="60"/>
        <v>0</v>
      </c>
      <c r="L298" s="66">
        <f t="shared" si="60"/>
        <v>0</v>
      </c>
      <c r="M298" s="66">
        <f t="shared" si="60"/>
        <v>0</v>
      </c>
      <c r="N298" s="66">
        <f t="shared" si="60"/>
        <v>0</v>
      </c>
      <c r="O298" s="65">
        <f>O308+O310+O314+O316+O338+O342+O299</f>
        <v>2665027</v>
      </c>
      <c r="P298" s="220"/>
    </row>
    <row r="299" spans="2:16" s="69" customFormat="1" ht="51">
      <c r="B299" s="33"/>
      <c r="C299" s="36">
        <v>85212</v>
      </c>
      <c r="D299" s="111"/>
      <c r="E299" s="17" t="s">
        <v>168</v>
      </c>
      <c r="F299" s="38">
        <f>SUM(F300:F307)</f>
        <v>1719000</v>
      </c>
      <c r="G299" s="256">
        <f>SUM(G300:G305)</f>
        <v>-66100</v>
      </c>
      <c r="H299" s="39">
        <f>SUM(H300:H305)</f>
        <v>0</v>
      </c>
      <c r="I299" s="39">
        <f>SUM(I300:I306)</f>
        <v>0</v>
      </c>
      <c r="J299" s="39">
        <f>SUM(J300:J305)</f>
        <v>0</v>
      </c>
      <c r="K299" s="39">
        <f>SUM(K300:K307)</f>
        <v>0</v>
      </c>
      <c r="L299" s="39">
        <f>SUM(L300:L305)</f>
        <v>0</v>
      </c>
      <c r="M299" s="39">
        <f>SUM(M300:M305)</f>
        <v>0</v>
      </c>
      <c r="N299" s="39">
        <f>SUM(N300:N305)</f>
        <v>0</v>
      </c>
      <c r="O299" s="162">
        <f>SUM(O300:O307)</f>
        <v>1652900</v>
      </c>
      <c r="P299" s="221"/>
    </row>
    <row r="300" spans="2:16" s="69" customFormat="1" ht="22.5" customHeight="1">
      <c r="B300" s="33"/>
      <c r="C300" s="111"/>
      <c r="D300" s="27">
        <v>3110</v>
      </c>
      <c r="E300" s="28" t="s">
        <v>172</v>
      </c>
      <c r="F300" s="37">
        <v>1667430</v>
      </c>
      <c r="G300" s="231">
        <v>-64117</v>
      </c>
      <c r="H300" s="40"/>
      <c r="I300" s="40"/>
      <c r="J300" s="40"/>
      <c r="K300" s="40"/>
      <c r="L300" s="40"/>
      <c r="M300" s="40"/>
      <c r="N300" s="40"/>
      <c r="O300" s="128">
        <f aca="true" t="shared" si="61" ref="O300:O307">F300+G300+H300+I300+J300+K300+L300+M300+N300</f>
        <v>1603313</v>
      </c>
      <c r="P300" s="452" t="s">
        <v>294</v>
      </c>
    </row>
    <row r="301" spans="2:16" s="69" customFormat="1" ht="12.75">
      <c r="B301" s="33"/>
      <c r="C301" s="111"/>
      <c r="D301" s="27">
        <v>4010</v>
      </c>
      <c r="E301" s="28" t="s">
        <v>57</v>
      </c>
      <c r="F301" s="37">
        <v>33608</v>
      </c>
      <c r="G301" s="231">
        <v>-1297</v>
      </c>
      <c r="H301" s="40"/>
      <c r="I301" s="40"/>
      <c r="J301" s="40"/>
      <c r="K301" s="40"/>
      <c r="L301" s="40"/>
      <c r="M301" s="40"/>
      <c r="N301" s="40"/>
      <c r="O301" s="128">
        <f t="shared" si="61"/>
        <v>32311</v>
      </c>
      <c r="P301" s="453"/>
    </row>
    <row r="302" spans="2:16" s="69" customFormat="1" ht="12.75">
      <c r="B302" s="33"/>
      <c r="C302" s="111"/>
      <c r="D302" s="27">
        <v>4110</v>
      </c>
      <c r="E302" s="28" t="s">
        <v>58</v>
      </c>
      <c r="F302" s="37">
        <v>5069</v>
      </c>
      <c r="G302" s="231">
        <v>-190</v>
      </c>
      <c r="H302" s="40"/>
      <c r="I302" s="40"/>
      <c r="J302" s="40"/>
      <c r="K302" s="40"/>
      <c r="L302" s="40"/>
      <c r="M302" s="40"/>
      <c r="N302" s="40"/>
      <c r="O302" s="128">
        <f t="shared" si="61"/>
        <v>4879</v>
      </c>
      <c r="P302" s="453"/>
    </row>
    <row r="303" spans="2:16" s="69" customFormat="1" ht="12.75">
      <c r="B303" s="33"/>
      <c r="C303" s="111"/>
      <c r="D303" s="27">
        <v>4210</v>
      </c>
      <c r="E303" s="28" t="s">
        <v>39</v>
      </c>
      <c r="F303" s="37">
        <v>1000</v>
      </c>
      <c r="G303" s="40"/>
      <c r="H303" s="40"/>
      <c r="I303" s="40"/>
      <c r="J303" s="40"/>
      <c r="K303" s="40"/>
      <c r="L303" s="40"/>
      <c r="M303" s="40"/>
      <c r="N303" s="40"/>
      <c r="O303" s="128">
        <f t="shared" si="61"/>
        <v>1000</v>
      </c>
      <c r="P303" s="453"/>
    </row>
    <row r="304" spans="2:16" s="69" customFormat="1" ht="12.75">
      <c r="B304" s="33"/>
      <c r="C304" s="111"/>
      <c r="D304" s="27">
        <v>4300</v>
      </c>
      <c r="E304" s="28" t="s">
        <v>41</v>
      </c>
      <c r="F304" s="37">
        <v>9000</v>
      </c>
      <c r="G304" s="231">
        <v>-496</v>
      </c>
      <c r="H304" s="40"/>
      <c r="I304" s="40"/>
      <c r="J304" s="40"/>
      <c r="K304" s="40"/>
      <c r="L304" s="40"/>
      <c r="M304" s="40"/>
      <c r="N304" s="40"/>
      <c r="O304" s="128">
        <f t="shared" si="61"/>
        <v>8504</v>
      </c>
      <c r="P304" s="454"/>
    </row>
    <row r="305" spans="2:16" s="69" customFormat="1" ht="12.75">
      <c r="B305" s="33"/>
      <c r="C305" s="111"/>
      <c r="D305" s="27">
        <v>4410</v>
      </c>
      <c r="E305" s="28" t="s">
        <v>60</v>
      </c>
      <c r="F305" s="37">
        <v>893</v>
      </c>
      <c r="G305" s="40"/>
      <c r="H305" s="40"/>
      <c r="I305" s="40"/>
      <c r="J305" s="40"/>
      <c r="K305" s="40"/>
      <c r="L305" s="40"/>
      <c r="M305" s="40"/>
      <c r="N305" s="40"/>
      <c r="O305" s="128">
        <f t="shared" si="61"/>
        <v>893</v>
      </c>
      <c r="P305" s="205"/>
    </row>
    <row r="306" spans="2:16" s="69" customFormat="1" ht="25.5">
      <c r="B306" s="33"/>
      <c r="C306" s="111"/>
      <c r="D306" s="27">
        <v>4700</v>
      </c>
      <c r="E306" s="28" t="s">
        <v>204</v>
      </c>
      <c r="F306" s="37">
        <v>2000</v>
      </c>
      <c r="G306" s="40"/>
      <c r="H306" s="40"/>
      <c r="I306" s="40"/>
      <c r="J306" s="40"/>
      <c r="K306" s="40"/>
      <c r="L306" s="40"/>
      <c r="M306" s="40"/>
      <c r="N306" s="40"/>
      <c r="O306" s="128">
        <f t="shared" si="61"/>
        <v>2000</v>
      </c>
      <c r="P306" s="205"/>
    </row>
    <row r="307" spans="2:16" s="69" customFormat="1" ht="25.5" customHeight="1" hidden="1">
      <c r="B307" s="33"/>
      <c r="C307" s="111"/>
      <c r="D307" s="27">
        <v>6060</v>
      </c>
      <c r="E307" s="28" t="s">
        <v>55</v>
      </c>
      <c r="F307" s="37"/>
      <c r="G307" s="40"/>
      <c r="H307" s="40"/>
      <c r="I307" s="40"/>
      <c r="J307" s="40"/>
      <c r="K307" s="40"/>
      <c r="L307" s="40"/>
      <c r="M307" s="40"/>
      <c r="N307" s="40"/>
      <c r="O307" s="128">
        <f t="shared" si="61"/>
        <v>0</v>
      </c>
      <c r="P307" s="205"/>
    </row>
    <row r="308" spans="2:16" s="69" customFormat="1" ht="51">
      <c r="B308" s="33"/>
      <c r="C308" s="14">
        <v>85213</v>
      </c>
      <c r="D308" s="14"/>
      <c r="E308" s="17" t="s">
        <v>169</v>
      </c>
      <c r="F308" s="57">
        <f aca="true" t="shared" si="62" ref="F308:N308">F309</f>
        <v>9000</v>
      </c>
      <c r="G308" s="58">
        <f t="shared" si="62"/>
        <v>200</v>
      </c>
      <c r="H308" s="58">
        <f t="shared" si="62"/>
        <v>0</v>
      </c>
      <c r="I308" s="58">
        <f t="shared" si="62"/>
        <v>0</v>
      </c>
      <c r="J308" s="58">
        <f t="shared" si="62"/>
        <v>0</v>
      </c>
      <c r="K308" s="58">
        <f t="shared" si="62"/>
        <v>0</v>
      </c>
      <c r="L308" s="58">
        <f t="shared" si="62"/>
        <v>0</v>
      </c>
      <c r="M308" s="58">
        <f t="shared" si="62"/>
        <v>0</v>
      </c>
      <c r="N308" s="58">
        <f t="shared" si="62"/>
        <v>0</v>
      </c>
      <c r="O308" s="162">
        <f>O309</f>
        <v>9200</v>
      </c>
      <c r="P308" s="219"/>
    </row>
    <row r="309" spans="2:16" s="69" customFormat="1" ht="12.75">
      <c r="B309" s="33"/>
      <c r="C309" s="111"/>
      <c r="D309" s="27">
        <v>4130</v>
      </c>
      <c r="E309" s="28" t="s">
        <v>173</v>
      </c>
      <c r="F309" s="37">
        <v>9000</v>
      </c>
      <c r="G309" s="40">
        <v>200</v>
      </c>
      <c r="H309" s="40"/>
      <c r="I309" s="40"/>
      <c r="J309" s="40"/>
      <c r="K309" s="40"/>
      <c r="L309" s="40"/>
      <c r="M309" s="40"/>
      <c r="N309" s="40"/>
      <c r="O309" s="128">
        <f>F309+G309+H309+I309+J309+K309+L309+M309+N309</f>
        <v>9200</v>
      </c>
      <c r="P309" s="205" t="s">
        <v>295</v>
      </c>
    </row>
    <row r="310" spans="2:16" s="49" customFormat="1" ht="25.5">
      <c r="B310" s="24"/>
      <c r="C310" s="14">
        <v>85214</v>
      </c>
      <c r="D310" s="14"/>
      <c r="E310" s="17" t="s">
        <v>170</v>
      </c>
      <c r="F310" s="57">
        <f>SUM(F311:F313)</f>
        <v>272700</v>
      </c>
      <c r="G310" s="252">
        <f>SUM(G311:G313)</f>
        <v>-2000</v>
      </c>
      <c r="H310" s="58">
        <f aca="true" t="shared" si="63" ref="H310:N310">SUM(H311:H313)</f>
        <v>0</v>
      </c>
      <c r="I310" s="58">
        <f t="shared" si="63"/>
        <v>0</v>
      </c>
      <c r="J310" s="58">
        <f t="shared" si="63"/>
        <v>0</v>
      </c>
      <c r="K310" s="58">
        <f t="shared" si="63"/>
        <v>0</v>
      </c>
      <c r="L310" s="58">
        <f t="shared" si="63"/>
        <v>0</v>
      </c>
      <c r="M310" s="58">
        <f t="shared" si="63"/>
        <v>0</v>
      </c>
      <c r="N310" s="58">
        <f t="shared" si="63"/>
        <v>0</v>
      </c>
      <c r="O310" s="162">
        <f>SUM(O311:O313)</f>
        <v>270700</v>
      </c>
      <c r="P310" s="219"/>
    </row>
    <row r="311" spans="2:16" s="49" customFormat="1" ht="12.75">
      <c r="B311" s="24"/>
      <c r="C311" s="27"/>
      <c r="D311" s="27">
        <v>3110</v>
      </c>
      <c r="E311" s="28" t="s">
        <v>172</v>
      </c>
      <c r="F311" s="42">
        <v>150000</v>
      </c>
      <c r="G311" s="230">
        <f>4100-6100</f>
        <v>-2000</v>
      </c>
      <c r="H311" s="82"/>
      <c r="I311" s="82"/>
      <c r="J311" s="82"/>
      <c r="K311" s="82"/>
      <c r="L311" s="82"/>
      <c r="M311" s="82"/>
      <c r="N311" s="82"/>
      <c r="O311" s="128">
        <f>F311+G311+H311+I311+J311+K311+L311+M311+N311</f>
        <v>148000</v>
      </c>
      <c r="P311" s="199" t="s">
        <v>296</v>
      </c>
    </row>
    <row r="312" spans="2:16" s="49" customFormat="1" ht="12.75">
      <c r="B312" s="24"/>
      <c r="C312" s="27"/>
      <c r="D312" s="27">
        <v>4110</v>
      </c>
      <c r="E312" s="28" t="s">
        <v>174</v>
      </c>
      <c r="F312" s="42">
        <v>2700</v>
      </c>
      <c r="G312" s="82"/>
      <c r="H312" s="82"/>
      <c r="I312" s="82"/>
      <c r="J312" s="82"/>
      <c r="K312" s="82"/>
      <c r="L312" s="82"/>
      <c r="M312" s="82"/>
      <c r="N312" s="82"/>
      <c r="O312" s="128">
        <f>F312+G312+H312+I312+J312+K312+L312+M312+N312</f>
        <v>2700</v>
      </c>
      <c r="P312" s="199"/>
    </row>
    <row r="313" spans="2:16" s="49" customFormat="1" ht="38.25">
      <c r="B313" s="24"/>
      <c r="C313" s="27"/>
      <c r="D313" s="27">
        <v>4330</v>
      </c>
      <c r="E313" s="28" t="s">
        <v>175</v>
      </c>
      <c r="F313" s="42">
        <f>90000+30000</f>
        <v>120000</v>
      </c>
      <c r="G313" s="82"/>
      <c r="H313" s="82"/>
      <c r="I313" s="82"/>
      <c r="J313" s="82"/>
      <c r="K313" s="82"/>
      <c r="L313" s="82"/>
      <c r="M313" s="82"/>
      <c r="N313" s="82"/>
      <c r="O313" s="128">
        <f>F313+G313+H313+I313+J313+K313+L313+M313+N313</f>
        <v>120000</v>
      </c>
      <c r="P313" s="199"/>
    </row>
    <row r="314" spans="2:16" s="49" customFormat="1" ht="12.75">
      <c r="B314" s="24"/>
      <c r="C314" s="14">
        <v>85215</v>
      </c>
      <c r="D314" s="14"/>
      <c r="E314" s="17" t="s">
        <v>176</v>
      </c>
      <c r="F314" s="57">
        <f aca="true" t="shared" si="64" ref="F314:N314">SUM(F315)</f>
        <v>135000</v>
      </c>
      <c r="G314" s="58">
        <f t="shared" si="64"/>
        <v>0</v>
      </c>
      <c r="H314" s="58">
        <f t="shared" si="64"/>
        <v>0</v>
      </c>
      <c r="I314" s="58">
        <f t="shared" si="64"/>
        <v>0</v>
      </c>
      <c r="J314" s="58">
        <f t="shared" si="64"/>
        <v>0</v>
      </c>
      <c r="K314" s="58">
        <f t="shared" si="64"/>
        <v>0</v>
      </c>
      <c r="L314" s="58">
        <f t="shared" si="64"/>
        <v>0</v>
      </c>
      <c r="M314" s="58">
        <f t="shared" si="64"/>
        <v>0</v>
      </c>
      <c r="N314" s="58">
        <f t="shared" si="64"/>
        <v>0</v>
      </c>
      <c r="O314" s="162">
        <f>SUM(O315)</f>
        <v>135000</v>
      </c>
      <c r="P314" s="219"/>
    </row>
    <row r="315" spans="2:16" s="49" customFormat="1" ht="12.75">
      <c r="B315" s="24"/>
      <c r="C315" s="27"/>
      <c r="D315" s="27">
        <v>3110</v>
      </c>
      <c r="E315" s="28" t="s">
        <v>172</v>
      </c>
      <c r="F315" s="42">
        <v>135000</v>
      </c>
      <c r="G315" s="82"/>
      <c r="H315" s="82"/>
      <c r="I315" s="82"/>
      <c r="J315" s="82"/>
      <c r="K315" s="82"/>
      <c r="L315" s="82"/>
      <c r="M315" s="82"/>
      <c r="N315" s="82"/>
      <c r="O315" s="128">
        <f>F315+G315+H315+I315+J315+K315+L315+M315+N315</f>
        <v>135000</v>
      </c>
      <c r="P315" s="199"/>
    </row>
    <row r="316" spans="2:16" s="49" customFormat="1" ht="12.75">
      <c r="B316" s="24"/>
      <c r="C316" s="14">
        <v>85219</v>
      </c>
      <c r="D316" s="14"/>
      <c r="E316" s="17" t="s">
        <v>171</v>
      </c>
      <c r="F316" s="57">
        <f>SUM(F317:F337)</f>
        <v>541200</v>
      </c>
      <c r="G316" s="252">
        <f>SUM(G317:G337)</f>
        <v>-18673</v>
      </c>
      <c r="H316" s="58">
        <f aca="true" t="shared" si="65" ref="H316:N316">SUM(H317:H337)</f>
        <v>0</v>
      </c>
      <c r="I316" s="58">
        <f t="shared" si="65"/>
        <v>0</v>
      </c>
      <c r="J316" s="58">
        <f t="shared" si="65"/>
        <v>0</v>
      </c>
      <c r="K316" s="58">
        <f t="shared" si="65"/>
        <v>0</v>
      </c>
      <c r="L316" s="58">
        <f t="shared" si="65"/>
        <v>0</v>
      </c>
      <c r="M316" s="58">
        <f t="shared" si="65"/>
        <v>0</v>
      </c>
      <c r="N316" s="58">
        <f t="shared" si="65"/>
        <v>0</v>
      </c>
      <c r="O316" s="162">
        <f>SUM(O317:O337)</f>
        <v>522527</v>
      </c>
      <c r="P316" s="219"/>
    </row>
    <row r="317" spans="2:16" s="49" customFormat="1" ht="28.5" customHeight="1">
      <c r="B317" s="24"/>
      <c r="C317" s="27"/>
      <c r="D317" s="27">
        <v>3020</v>
      </c>
      <c r="E317" s="28" t="s">
        <v>61</v>
      </c>
      <c r="F317" s="42">
        <v>7000</v>
      </c>
      <c r="G317" s="230">
        <v>-1000</v>
      </c>
      <c r="H317" s="82"/>
      <c r="I317" s="82"/>
      <c r="J317" s="82"/>
      <c r="K317" s="82"/>
      <c r="L317" s="82"/>
      <c r="M317" s="82"/>
      <c r="N317" s="82"/>
      <c r="O317" s="128">
        <f aca="true" t="shared" si="66" ref="O317:O337">F317+G317+H317+I317+J317+K317+L317+M317+N317</f>
        <v>6000</v>
      </c>
      <c r="P317" s="446" t="s">
        <v>297</v>
      </c>
    </row>
    <row r="318" spans="2:16" s="49" customFormat="1" ht="12.75">
      <c r="B318" s="24"/>
      <c r="C318" s="27"/>
      <c r="D318" s="27">
        <v>4010</v>
      </c>
      <c r="E318" s="28" t="s">
        <v>57</v>
      </c>
      <c r="F318" s="42">
        <v>327700</v>
      </c>
      <c r="G318" s="230">
        <v>-15000</v>
      </c>
      <c r="H318" s="82"/>
      <c r="I318" s="82"/>
      <c r="J318" s="82"/>
      <c r="K318" s="82"/>
      <c r="L318" s="82"/>
      <c r="M318" s="82"/>
      <c r="N318" s="82"/>
      <c r="O318" s="128">
        <f t="shared" si="66"/>
        <v>312700</v>
      </c>
      <c r="P318" s="448"/>
    </row>
    <row r="319" spans="2:16" s="49" customFormat="1" ht="12.75">
      <c r="B319" s="24"/>
      <c r="C319" s="27"/>
      <c r="D319" s="27">
        <v>4040</v>
      </c>
      <c r="E319" s="28" t="s">
        <v>62</v>
      </c>
      <c r="F319" s="42">
        <v>23800</v>
      </c>
      <c r="G319" s="230">
        <v>-640</v>
      </c>
      <c r="H319" s="82"/>
      <c r="I319" s="82"/>
      <c r="J319" s="82"/>
      <c r="K319" s="82"/>
      <c r="L319" s="82"/>
      <c r="M319" s="82"/>
      <c r="N319" s="82"/>
      <c r="O319" s="128">
        <f t="shared" si="66"/>
        <v>23160</v>
      </c>
      <c r="P319" s="448"/>
    </row>
    <row r="320" spans="2:16" s="49" customFormat="1" ht="12.75">
      <c r="B320" s="24"/>
      <c r="C320" s="27"/>
      <c r="D320" s="27">
        <v>4110</v>
      </c>
      <c r="E320" s="28" t="s">
        <v>58</v>
      </c>
      <c r="F320" s="42">
        <v>57000</v>
      </c>
      <c r="G320" s="230">
        <v>-3000</v>
      </c>
      <c r="H320" s="82"/>
      <c r="I320" s="82"/>
      <c r="J320" s="82"/>
      <c r="K320" s="82"/>
      <c r="L320" s="82"/>
      <c r="M320" s="82"/>
      <c r="N320" s="82"/>
      <c r="O320" s="128">
        <f t="shared" si="66"/>
        <v>54000</v>
      </c>
      <c r="P320" s="448"/>
    </row>
    <row r="321" spans="2:16" s="49" customFormat="1" ht="12.75">
      <c r="B321" s="24"/>
      <c r="C321" s="27"/>
      <c r="D321" s="27">
        <v>4120</v>
      </c>
      <c r="E321" s="28" t="s">
        <v>177</v>
      </c>
      <c r="F321" s="42">
        <v>8600</v>
      </c>
      <c r="G321" s="82"/>
      <c r="H321" s="82"/>
      <c r="I321" s="82"/>
      <c r="J321" s="82"/>
      <c r="K321" s="82"/>
      <c r="L321" s="82"/>
      <c r="M321" s="82"/>
      <c r="N321" s="82"/>
      <c r="O321" s="128">
        <f t="shared" si="66"/>
        <v>8600</v>
      </c>
      <c r="P321" s="448"/>
    </row>
    <row r="322" spans="2:16" s="49" customFormat="1" ht="12.75">
      <c r="B322" s="24"/>
      <c r="C322" s="27"/>
      <c r="D322" s="27">
        <v>4170</v>
      </c>
      <c r="E322" s="28" t="s">
        <v>63</v>
      </c>
      <c r="F322" s="42">
        <v>8000</v>
      </c>
      <c r="G322" s="82"/>
      <c r="H322" s="82"/>
      <c r="I322" s="82"/>
      <c r="J322" s="82"/>
      <c r="K322" s="82"/>
      <c r="L322" s="82"/>
      <c r="M322" s="82"/>
      <c r="N322" s="82"/>
      <c r="O322" s="128">
        <f t="shared" si="66"/>
        <v>8000</v>
      </c>
      <c r="P322" s="448"/>
    </row>
    <row r="323" spans="2:16" s="49" customFormat="1" ht="23.25" customHeight="1">
      <c r="B323" s="24"/>
      <c r="C323" s="27"/>
      <c r="D323" s="27">
        <v>4210</v>
      </c>
      <c r="E323" s="28" t="s">
        <v>39</v>
      </c>
      <c r="F323" s="42">
        <v>16000</v>
      </c>
      <c r="G323" s="82"/>
      <c r="H323" s="82"/>
      <c r="I323" s="82"/>
      <c r="J323" s="82"/>
      <c r="K323" s="82"/>
      <c r="L323" s="82"/>
      <c r="M323" s="82"/>
      <c r="N323" s="82"/>
      <c r="O323" s="128">
        <f t="shared" si="66"/>
        <v>16000</v>
      </c>
      <c r="P323" s="448"/>
    </row>
    <row r="324" spans="2:16" s="49" customFormat="1" ht="12.75">
      <c r="B324" s="24"/>
      <c r="C324" s="27"/>
      <c r="D324" s="27">
        <v>4260</v>
      </c>
      <c r="E324" s="28" t="s">
        <v>59</v>
      </c>
      <c r="F324" s="42">
        <v>10800</v>
      </c>
      <c r="G324" s="82"/>
      <c r="H324" s="82"/>
      <c r="I324" s="82"/>
      <c r="J324" s="82"/>
      <c r="K324" s="82"/>
      <c r="L324" s="82"/>
      <c r="M324" s="82"/>
      <c r="N324" s="82"/>
      <c r="O324" s="128">
        <f t="shared" si="66"/>
        <v>10800</v>
      </c>
      <c r="P324" s="448"/>
    </row>
    <row r="325" spans="2:16" s="49" customFormat="1" ht="12.75">
      <c r="B325" s="24"/>
      <c r="C325" s="27"/>
      <c r="D325" s="27">
        <v>4270</v>
      </c>
      <c r="E325" s="28" t="s">
        <v>71</v>
      </c>
      <c r="F325" s="42">
        <v>12000</v>
      </c>
      <c r="G325" s="82"/>
      <c r="H325" s="82"/>
      <c r="I325" s="82"/>
      <c r="J325" s="82"/>
      <c r="K325" s="82"/>
      <c r="L325" s="82"/>
      <c r="M325" s="82"/>
      <c r="N325" s="82"/>
      <c r="O325" s="128">
        <f t="shared" si="66"/>
        <v>12000</v>
      </c>
      <c r="P325" s="448"/>
    </row>
    <row r="326" spans="2:16" s="49" customFormat="1" ht="12.75">
      <c r="B326" s="24"/>
      <c r="C326" s="27"/>
      <c r="D326" s="27">
        <v>4280</v>
      </c>
      <c r="E326" s="28" t="s">
        <v>64</v>
      </c>
      <c r="F326" s="42">
        <v>1000</v>
      </c>
      <c r="G326" s="82"/>
      <c r="H326" s="82"/>
      <c r="I326" s="82"/>
      <c r="J326" s="82"/>
      <c r="K326" s="82"/>
      <c r="L326" s="82"/>
      <c r="M326" s="82"/>
      <c r="N326" s="82"/>
      <c r="O326" s="128">
        <f t="shared" si="66"/>
        <v>1000</v>
      </c>
      <c r="P326" s="448"/>
    </row>
    <row r="327" spans="2:16" s="49" customFormat="1" ht="12.75">
      <c r="B327" s="24"/>
      <c r="C327" s="27"/>
      <c r="D327" s="27">
        <v>4300</v>
      </c>
      <c r="E327" s="28" t="s">
        <v>41</v>
      </c>
      <c r="F327" s="42">
        <v>12100</v>
      </c>
      <c r="G327" s="82"/>
      <c r="H327" s="82"/>
      <c r="I327" s="82"/>
      <c r="J327" s="82"/>
      <c r="K327" s="82"/>
      <c r="L327" s="82"/>
      <c r="M327" s="82"/>
      <c r="N327" s="82"/>
      <c r="O327" s="128">
        <f t="shared" si="66"/>
        <v>12100</v>
      </c>
      <c r="P327" s="448"/>
    </row>
    <row r="328" spans="2:16" s="49" customFormat="1" ht="12.75">
      <c r="B328" s="24"/>
      <c r="C328" s="27"/>
      <c r="D328" s="27">
        <v>4350</v>
      </c>
      <c r="E328" s="28" t="s">
        <v>65</v>
      </c>
      <c r="F328" s="42">
        <v>1500</v>
      </c>
      <c r="G328" s="82"/>
      <c r="H328" s="82"/>
      <c r="I328" s="82"/>
      <c r="J328" s="82"/>
      <c r="K328" s="82"/>
      <c r="L328" s="82"/>
      <c r="M328" s="82"/>
      <c r="N328" s="82"/>
      <c r="O328" s="128">
        <f t="shared" si="66"/>
        <v>1500</v>
      </c>
      <c r="P328" s="448"/>
    </row>
    <row r="329" spans="2:16" s="49" customFormat="1" ht="28.5" customHeight="1">
      <c r="B329" s="24"/>
      <c r="C329" s="27"/>
      <c r="D329" s="27">
        <v>4370</v>
      </c>
      <c r="E329" s="28" t="s">
        <v>67</v>
      </c>
      <c r="F329" s="42">
        <v>8400</v>
      </c>
      <c r="G329" s="82"/>
      <c r="H329" s="82"/>
      <c r="I329" s="82"/>
      <c r="J329" s="82"/>
      <c r="K329" s="82"/>
      <c r="L329" s="82"/>
      <c r="M329" s="82"/>
      <c r="N329" s="82"/>
      <c r="O329" s="128">
        <f t="shared" si="66"/>
        <v>8400</v>
      </c>
      <c r="P329" s="448"/>
    </row>
    <row r="330" spans="2:16" s="49" customFormat="1" ht="28.5" customHeight="1">
      <c r="B330" s="24"/>
      <c r="C330" s="27"/>
      <c r="D330" s="27">
        <v>4400</v>
      </c>
      <c r="E330" s="28" t="s">
        <v>217</v>
      </c>
      <c r="F330" s="42">
        <v>10200</v>
      </c>
      <c r="G330" s="82"/>
      <c r="H330" s="82"/>
      <c r="I330" s="82"/>
      <c r="J330" s="82"/>
      <c r="K330" s="82"/>
      <c r="L330" s="82"/>
      <c r="M330" s="82"/>
      <c r="N330" s="82"/>
      <c r="O330" s="128">
        <f t="shared" si="66"/>
        <v>10200</v>
      </c>
      <c r="P330" s="448"/>
    </row>
    <row r="331" spans="2:16" s="49" customFormat="1" ht="12.75">
      <c r="B331" s="24"/>
      <c r="C331" s="27"/>
      <c r="D331" s="27">
        <v>4410</v>
      </c>
      <c r="E331" s="28" t="s">
        <v>60</v>
      </c>
      <c r="F331" s="42">
        <v>11900</v>
      </c>
      <c r="G331" s="82"/>
      <c r="H331" s="82"/>
      <c r="I331" s="82"/>
      <c r="J331" s="82"/>
      <c r="K331" s="82"/>
      <c r="L331" s="82"/>
      <c r="M331" s="82"/>
      <c r="N331" s="82"/>
      <c r="O331" s="128">
        <f t="shared" si="66"/>
        <v>11900</v>
      </c>
      <c r="P331" s="448"/>
    </row>
    <row r="332" spans="2:16" s="49" customFormat="1" ht="12.75">
      <c r="B332" s="24"/>
      <c r="C332" s="27"/>
      <c r="D332" s="27">
        <v>4430</v>
      </c>
      <c r="E332" s="28" t="s">
        <v>46</v>
      </c>
      <c r="F332" s="42">
        <v>1000</v>
      </c>
      <c r="G332" s="82"/>
      <c r="H332" s="82"/>
      <c r="I332" s="82"/>
      <c r="J332" s="82"/>
      <c r="K332" s="82"/>
      <c r="L332" s="82"/>
      <c r="M332" s="82"/>
      <c r="N332" s="82"/>
      <c r="O332" s="128">
        <f t="shared" si="66"/>
        <v>1000</v>
      </c>
      <c r="P332" s="448"/>
    </row>
    <row r="333" spans="2:16" s="49" customFormat="1" ht="28.5" customHeight="1">
      <c r="B333" s="24"/>
      <c r="C333" s="27"/>
      <c r="D333" s="27">
        <v>4440</v>
      </c>
      <c r="E333" s="28" t="s">
        <v>68</v>
      </c>
      <c r="F333" s="42">
        <v>10200</v>
      </c>
      <c r="G333" s="82">
        <v>967</v>
      </c>
      <c r="H333" s="82"/>
      <c r="I333" s="82"/>
      <c r="J333" s="82"/>
      <c r="K333" s="82"/>
      <c r="L333" s="82"/>
      <c r="M333" s="82"/>
      <c r="N333" s="82"/>
      <c r="O333" s="128">
        <f t="shared" si="66"/>
        <v>11167</v>
      </c>
      <c r="P333" s="448"/>
    </row>
    <row r="334" spans="2:16" s="49" customFormat="1" ht="25.5">
      <c r="B334" s="24"/>
      <c r="C334" s="27"/>
      <c r="D334" s="27">
        <v>4700</v>
      </c>
      <c r="E334" s="28" t="s">
        <v>204</v>
      </c>
      <c r="F334" s="42">
        <v>4000</v>
      </c>
      <c r="G334" s="82"/>
      <c r="H334" s="82"/>
      <c r="I334" s="82"/>
      <c r="J334" s="82"/>
      <c r="K334" s="82"/>
      <c r="L334" s="82"/>
      <c r="M334" s="82"/>
      <c r="N334" s="82"/>
      <c r="O334" s="128">
        <f t="shared" si="66"/>
        <v>4000</v>
      </c>
      <c r="P334" s="448"/>
    </row>
    <row r="335" spans="2:16" s="49" customFormat="1" ht="38.25">
      <c r="B335" s="24"/>
      <c r="C335" s="27"/>
      <c r="D335" s="27">
        <v>4740</v>
      </c>
      <c r="E335" s="28" t="s">
        <v>69</v>
      </c>
      <c r="F335" s="42">
        <v>3000</v>
      </c>
      <c r="G335" s="82"/>
      <c r="H335" s="82"/>
      <c r="I335" s="82"/>
      <c r="J335" s="82"/>
      <c r="K335" s="82"/>
      <c r="L335" s="82"/>
      <c r="M335" s="82"/>
      <c r="N335" s="82"/>
      <c r="O335" s="128">
        <f t="shared" si="66"/>
        <v>3000</v>
      </c>
      <c r="P335" s="448"/>
    </row>
    <row r="336" spans="2:16" s="49" customFormat="1" ht="25.5">
      <c r="B336" s="24"/>
      <c r="C336" s="27"/>
      <c r="D336" s="27">
        <v>4750</v>
      </c>
      <c r="E336" s="28" t="s">
        <v>70</v>
      </c>
      <c r="F336" s="42">
        <v>7000</v>
      </c>
      <c r="G336" s="82"/>
      <c r="H336" s="82"/>
      <c r="I336" s="82"/>
      <c r="J336" s="82"/>
      <c r="K336" s="82"/>
      <c r="L336" s="82"/>
      <c r="M336" s="82"/>
      <c r="N336" s="82"/>
      <c r="O336" s="128">
        <f t="shared" si="66"/>
        <v>7000</v>
      </c>
      <c r="P336" s="447"/>
    </row>
    <row r="337" spans="2:16" s="49" customFormat="1" ht="28.5" customHeight="1" hidden="1">
      <c r="B337" s="24"/>
      <c r="C337" s="27"/>
      <c r="D337" s="27">
        <v>6060</v>
      </c>
      <c r="E337" s="28" t="s">
        <v>55</v>
      </c>
      <c r="F337" s="42"/>
      <c r="G337" s="82"/>
      <c r="H337" s="82"/>
      <c r="I337" s="82"/>
      <c r="J337" s="82"/>
      <c r="K337" s="82"/>
      <c r="L337" s="82"/>
      <c r="M337" s="82"/>
      <c r="N337" s="82"/>
      <c r="O337" s="128">
        <f t="shared" si="66"/>
        <v>0</v>
      </c>
      <c r="P337" s="199"/>
    </row>
    <row r="338" spans="2:16" s="49" customFormat="1" ht="25.5">
      <c r="B338" s="24"/>
      <c r="C338" s="14">
        <v>85228</v>
      </c>
      <c r="D338" s="14"/>
      <c r="E338" s="17" t="s">
        <v>178</v>
      </c>
      <c r="F338" s="57">
        <f>SUM(F339:F341)</f>
        <v>18700</v>
      </c>
      <c r="G338" s="58">
        <f>G341</f>
        <v>0</v>
      </c>
      <c r="H338" s="58">
        <f aca="true" t="shared" si="67" ref="H338:N338">H341</f>
        <v>0</v>
      </c>
      <c r="I338" s="58">
        <f t="shared" si="67"/>
        <v>0</v>
      </c>
      <c r="J338" s="58">
        <f t="shared" si="67"/>
        <v>0</v>
      </c>
      <c r="K338" s="58">
        <f t="shared" si="67"/>
        <v>0</v>
      </c>
      <c r="L338" s="58">
        <f t="shared" si="67"/>
        <v>0</v>
      </c>
      <c r="M338" s="58">
        <f t="shared" si="67"/>
        <v>0</v>
      </c>
      <c r="N338" s="58">
        <f t="shared" si="67"/>
        <v>0</v>
      </c>
      <c r="O338" s="162">
        <f>SUM(O339:O341)</f>
        <v>18700</v>
      </c>
      <c r="P338" s="219"/>
    </row>
    <row r="339" spans="2:16" s="49" customFormat="1" ht="28.5" customHeight="1">
      <c r="B339" s="24"/>
      <c r="C339" s="14"/>
      <c r="D339" s="27">
        <v>4110</v>
      </c>
      <c r="E339" s="28" t="s">
        <v>58</v>
      </c>
      <c r="F339" s="42">
        <v>2500</v>
      </c>
      <c r="G339" s="58"/>
      <c r="H339" s="58"/>
      <c r="I339" s="58"/>
      <c r="J339" s="58"/>
      <c r="K339" s="58"/>
      <c r="L339" s="58"/>
      <c r="M339" s="58"/>
      <c r="N339" s="58"/>
      <c r="O339" s="128">
        <f>F339+G339+H339+I339+J339+K339+L339+M339+N339</f>
        <v>2500</v>
      </c>
      <c r="P339" s="219"/>
    </row>
    <row r="340" spans="2:16" s="49" customFormat="1" ht="28.5" customHeight="1">
      <c r="B340" s="24"/>
      <c r="C340" s="14"/>
      <c r="D340" s="27">
        <v>4120</v>
      </c>
      <c r="E340" s="28" t="s">
        <v>177</v>
      </c>
      <c r="F340" s="42">
        <v>400</v>
      </c>
      <c r="G340" s="58"/>
      <c r="H340" s="58"/>
      <c r="I340" s="58"/>
      <c r="J340" s="58"/>
      <c r="K340" s="58"/>
      <c r="L340" s="58"/>
      <c r="M340" s="58"/>
      <c r="N340" s="58"/>
      <c r="O340" s="128">
        <f>F340+G340+H340+I340+J340+K340+L340+M340+N340</f>
        <v>400</v>
      </c>
      <c r="P340" s="219"/>
    </row>
    <row r="341" spans="2:16" s="49" customFormat="1" ht="12.75">
      <c r="B341" s="24"/>
      <c r="C341" s="27"/>
      <c r="D341" s="27">
        <v>4170</v>
      </c>
      <c r="E341" s="28" t="s">
        <v>63</v>
      </c>
      <c r="F341" s="42">
        <v>15800</v>
      </c>
      <c r="G341" s="82"/>
      <c r="H341" s="82"/>
      <c r="I341" s="82"/>
      <c r="J341" s="82"/>
      <c r="K341" s="82"/>
      <c r="L341" s="82"/>
      <c r="M341" s="82"/>
      <c r="N341" s="82"/>
      <c r="O341" s="128">
        <f>F341+G341+H341+I341+J341+K341+L341+M341+N341</f>
        <v>15800</v>
      </c>
      <c r="P341" s="199"/>
    </row>
    <row r="342" spans="2:16" s="49" customFormat="1" ht="12.75">
      <c r="B342" s="24"/>
      <c r="C342" s="14">
        <v>85295</v>
      </c>
      <c r="D342" s="14"/>
      <c r="E342" s="17" t="s">
        <v>34</v>
      </c>
      <c r="F342" s="57">
        <f>SUM(F343:F345)</f>
        <v>56000</v>
      </c>
      <c r="G342" s="58">
        <f>SUM(G343:G345)</f>
        <v>0</v>
      </c>
      <c r="H342" s="58">
        <f aca="true" t="shared" si="68" ref="H342:N342">SUM(H343:H345)</f>
        <v>0</v>
      </c>
      <c r="I342" s="58">
        <f t="shared" si="68"/>
        <v>0</v>
      </c>
      <c r="J342" s="58">
        <f t="shared" si="68"/>
        <v>0</v>
      </c>
      <c r="K342" s="58">
        <f t="shared" si="68"/>
        <v>0</v>
      </c>
      <c r="L342" s="58">
        <f t="shared" si="68"/>
        <v>0</v>
      </c>
      <c r="M342" s="58">
        <f t="shared" si="68"/>
        <v>0</v>
      </c>
      <c r="N342" s="58">
        <f t="shared" si="68"/>
        <v>0</v>
      </c>
      <c r="O342" s="162">
        <f>SUM(O343:O345)</f>
        <v>56000</v>
      </c>
      <c r="P342" s="219"/>
    </row>
    <row r="343" spans="2:16" s="49" customFormat="1" ht="12.75">
      <c r="B343" s="24"/>
      <c r="C343" s="14"/>
      <c r="D343" s="27">
        <v>3110</v>
      </c>
      <c r="E343" s="28" t="s">
        <v>172</v>
      </c>
      <c r="F343" s="62">
        <v>51000</v>
      </c>
      <c r="G343" s="64"/>
      <c r="H343" s="64"/>
      <c r="I343" s="64"/>
      <c r="J343" s="64"/>
      <c r="K343" s="64"/>
      <c r="L343" s="64"/>
      <c r="M343" s="64"/>
      <c r="N343" s="64"/>
      <c r="O343" s="128">
        <f>F343+G343+H343+I343+J343+K343+L343+M343+N343</f>
        <v>51000</v>
      </c>
      <c r="P343" s="199"/>
    </row>
    <row r="344" spans="2:16" s="49" customFormat="1" ht="12.75">
      <c r="B344" s="24"/>
      <c r="C344" s="14"/>
      <c r="D344" s="27">
        <v>4210</v>
      </c>
      <c r="E344" s="28" t="s">
        <v>39</v>
      </c>
      <c r="F344" s="62">
        <v>3000</v>
      </c>
      <c r="G344" s="64"/>
      <c r="H344" s="64"/>
      <c r="I344" s="64"/>
      <c r="J344" s="64"/>
      <c r="K344" s="64"/>
      <c r="L344" s="64"/>
      <c r="M344" s="64"/>
      <c r="N344" s="64"/>
      <c r="O344" s="128">
        <f>F344+G344+H344+I344+J344+K344+L344+M344+N344</f>
        <v>3000</v>
      </c>
      <c r="P344" s="199"/>
    </row>
    <row r="345" spans="2:16" s="49" customFormat="1" ht="12.75">
      <c r="B345" s="24"/>
      <c r="C345" s="14"/>
      <c r="D345" s="27">
        <v>4300</v>
      </c>
      <c r="E345" s="28" t="s">
        <v>41</v>
      </c>
      <c r="F345" s="62">
        <v>2000</v>
      </c>
      <c r="G345" s="64"/>
      <c r="H345" s="64"/>
      <c r="I345" s="64"/>
      <c r="J345" s="64"/>
      <c r="K345" s="64"/>
      <c r="L345" s="64"/>
      <c r="M345" s="64"/>
      <c r="N345" s="64"/>
      <c r="O345" s="128">
        <f>F345+G345+H345+I345+J345+K345+L345+M345+N345</f>
        <v>2000</v>
      </c>
      <c r="P345" s="199"/>
    </row>
    <row r="346" spans="2:16" s="49" customFormat="1" ht="12.75">
      <c r="B346" s="30">
        <v>854</v>
      </c>
      <c r="C346" s="31"/>
      <c r="D346" s="31"/>
      <c r="E346" s="32" t="s">
        <v>180</v>
      </c>
      <c r="F346" s="65">
        <f>F347</f>
        <v>15000</v>
      </c>
      <c r="G346" s="66">
        <f>G347</f>
        <v>9866</v>
      </c>
      <c r="H346" s="66">
        <f aca="true" t="shared" si="69" ref="H346:N347">H347</f>
        <v>0</v>
      </c>
      <c r="I346" s="66">
        <f t="shared" si="69"/>
        <v>0</v>
      </c>
      <c r="J346" s="66">
        <f t="shared" si="69"/>
        <v>0</v>
      </c>
      <c r="K346" s="66">
        <f t="shared" si="69"/>
        <v>0</v>
      </c>
      <c r="L346" s="66">
        <f t="shared" si="69"/>
        <v>0</v>
      </c>
      <c r="M346" s="66">
        <f t="shared" si="69"/>
        <v>0</v>
      </c>
      <c r="N346" s="66">
        <f t="shared" si="69"/>
        <v>0</v>
      </c>
      <c r="O346" s="65">
        <f>O347</f>
        <v>24866</v>
      </c>
      <c r="P346" s="220"/>
    </row>
    <row r="347" spans="2:16" s="49" customFormat="1" ht="13.5" customHeight="1">
      <c r="B347" s="24"/>
      <c r="C347" s="14">
        <v>85415</v>
      </c>
      <c r="D347" s="130"/>
      <c r="E347" s="131" t="s">
        <v>181</v>
      </c>
      <c r="F347" s="57">
        <f>F348</f>
        <v>15000</v>
      </c>
      <c r="G347" s="58">
        <f>G348</f>
        <v>9866</v>
      </c>
      <c r="H347" s="58">
        <f t="shared" si="69"/>
        <v>0</v>
      </c>
      <c r="I347" s="58">
        <f t="shared" si="69"/>
        <v>0</v>
      </c>
      <c r="J347" s="58">
        <f t="shared" si="69"/>
        <v>0</v>
      </c>
      <c r="K347" s="58">
        <f t="shared" si="69"/>
        <v>0</v>
      </c>
      <c r="L347" s="58">
        <f t="shared" si="69"/>
        <v>0</v>
      </c>
      <c r="M347" s="58">
        <f t="shared" si="69"/>
        <v>0</v>
      </c>
      <c r="N347" s="58">
        <f t="shared" si="69"/>
        <v>0</v>
      </c>
      <c r="O347" s="162">
        <f>O348</f>
        <v>24866</v>
      </c>
      <c r="P347" s="444" t="s">
        <v>298</v>
      </c>
    </row>
    <row r="348" spans="2:16" s="49" customFormat="1" ht="15" customHeight="1">
      <c r="B348" s="24"/>
      <c r="C348" s="14"/>
      <c r="D348" s="27">
        <v>3260</v>
      </c>
      <c r="E348" s="28" t="s">
        <v>195</v>
      </c>
      <c r="F348" s="62">
        <v>15000</v>
      </c>
      <c r="G348" s="64">
        <v>9866</v>
      </c>
      <c r="H348" s="64"/>
      <c r="I348" s="64"/>
      <c r="J348" s="64"/>
      <c r="K348" s="64"/>
      <c r="L348" s="64"/>
      <c r="M348" s="64"/>
      <c r="N348" s="64"/>
      <c r="O348" s="128">
        <f>F348+G348+H348+I348+J348+K348+L348+M348+N348</f>
        <v>24866</v>
      </c>
      <c r="P348" s="445"/>
    </row>
    <row r="349" spans="2:16" s="49" customFormat="1" ht="28.5" customHeight="1">
      <c r="B349" s="30">
        <v>900</v>
      </c>
      <c r="C349" s="31"/>
      <c r="D349" s="31"/>
      <c r="E349" s="32" t="s">
        <v>35</v>
      </c>
      <c r="F349" s="65">
        <f>F350+F356</f>
        <v>342200</v>
      </c>
      <c r="G349" s="66">
        <f>G350+G356</f>
        <v>384000</v>
      </c>
      <c r="H349" s="66">
        <f aca="true" t="shared" si="70" ref="H349:N349">H350+H356</f>
        <v>0</v>
      </c>
      <c r="I349" s="66">
        <f t="shared" si="70"/>
        <v>0</v>
      </c>
      <c r="J349" s="66">
        <f t="shared" si="70"/>
        <v>0</v>
      </c>
      <c r="K349" s="66">
        <f t="shared" si="70"/>
        <v>0</v>
      </c>
      <c r="L349" s="66">
        <f t="shared" si="70"/>
        <v>0</v>
      </c>
      <c r="M349" s="66">
        <f t="shared" si="70"/>
        <v>0</v>
      </c>
      <c r="N349" s="66">
        <f t="shared" si="70"/>
        <v>0</v>
      </c>
      <c r="O349" s="65">
        <f>O350+O356</f>
        <v>726200</v>
      </c>
      <c r="P349" s="220"/>
    </row>
    <row r="350" spans="2:16" s="49" customFormat="1" ht="12.75">
      <c r="B350" s="24"/>
      <c r="C350" s="14">
        <v>90015</v>
      </c>
      <c r="D350" s="14"/>
      <c r="E350" s="17" t="s">
        <v>78</v>
      </c>
      <c r="F350" s="57">
        <f>SUM(F351:F355)</f>
        <v>241000</v>
      </c>
      <c r="G350" s="58">
        <f>SUM(G351:G355)</f>
        <v>170000</v>
      </c>
      <c r="H350" s="58">
        <f aca="true" t="shared" si="71" ref="H350:N350">SUM(H351:H355)</f>
        <v>0</v>
      </c>
      <c r="I350" s="58">
        <f t="shared" si="71"/>
        <v>0</v>
      </c>
      <c r="J350" s="58">
        <f t="shared" si="71"/>
        <v>0</v>
      </c>
      <c r="K350" s="58">
        <f t="shared" si="71"/>
        <v>0</v>
      </c>
      <c r="L350" s="58">
        <f t="shared" si="71"/>
        <v>0</v>
      </c>
      <c r="M350" s="58">
        <f t="shared" si="71"/>
        <v>0</v>
      </c>
      <c r="N350" s="58">
        <f t="shared" si="71"/>
        <v>0</v>
      </c>
      <c r="O350" s="162">
        <f>SUM(O351:O355)</f>
        <v>411000</v>
      </c>
      <c r="P350" s="219"/>
    </row>
    <row r="351" spans="2:16" s="49" customFormat="1" ht="12.75">
      <c r="B351" s="24"/>
      <c r="C351" s="27"/>
      <c r="D351" s="27">
        <v>4210</v>
      </c>
      <c r="E351" s="28" t="s">
        <v>39</v>
      </c>
      <c r="F351" s="42">
        <v>6000</v>
      </c>
      <c r="G351" s="82"/>
      <c r="H351" s="82"/>
      <c r="I351" s="82"/>
      <c r="J351" s="82"/>
      <c r="K351" s="82"/>
      <c r="L351" s="82"/>
      <c r="M351" s="82"/>
      <c r="N351" s="82"/>
      <c r="O351" s="128">
        <f>F351+G351+H351+I351+J351+K351+L351+M351+N351</f>
        <v>6000</v>
      </c>
      <c r="P351" s="199"/>
    </row>
    <row r="352" spans="2:16" s="49" customFormat="1" ht="45" customHeight="1">
      <c r="B352" s="24"/>
      <c r="C352" s="27"/>
      <c r="D352" s="27">
        <v>4260</v>
      </c>
      <c r="E352" s="28" t="s">
        <v>59</v>
      </c>
      <c r="F352" s="42">
        <v>100000</v>
      </c>
      <c r="G352" s="82">
        <v>50000</v>
      </c>
      <c r="H352" s="82"/>
      <c r="I352" s="82"/>
      <c r="J352" s="82"/>
      <c r="K352" s="82"/>
      <c r="L352" s="82"/>
      <c r="M352" s="82"/>
      <c r="N352" s="82"/>
      <c r="O352" s="128">
        <f>F352+G352+H352+I352+J352+K352+L352+M352+N352</f>
        <v>150000</v>
      </c>
      <c r="P352" s="446" t="s">
        <v>299</v>
      </c>
    </row>
    <row r="353" spans="2:16" s="49" customFormat="1" ht="12.75">
      <c r="B353" s="24"/>
      <c r="C353" s="27"/>
      <c r="D353" s="27">
        <v>4270</v>
      </c>
      <c r="E353" s="28" t="s">
        <v>71</v>
      </c>
      <c r="F353" s="42">
        <v>80000</v>
      </c>
      <c r="G353" s="82">
        <f>120000</f>
        <v>120000</v>
      </c>
      <c r="H353" s="82"/>
      <c r="I353" s="82"/>
      <c r="J353" s="82"/>
      <c r="K353" s="82"/>
      <c r="L353" s="82"/>
      <c r="M353" s="82"/>
      <c r="N353" s="82"/>
      <c r="O353" s="128">
        <f>F353+G353+H353+I353+J353+K353+L353+M353+N353</f>
        <v>200000</v>
      </c>
      <c r="P353" s="447"/>
    </row>
    <row r="354" spans="2:16" s="49" customFormat="1" ht="16.5" customHeight="1" hidden="1">
      <c r="B354" s="24"/>
      <c r="C354" s="27"/>
      <c r="D354" s="27">
        <v>4300</v>
      </c>
      <c r="E354" s="28" t="s">
        <v>41</v>
      </c>
      <c r="F354" s="42"/>
      <c r="G354" s="82"/>
      <c r="H354" s="82"/>
      <c r="I354" s="82"/>
      <c r="J354" s="82"/>
      <c r="K354" s="82"/>
      <c r="L354" s="82"/>
      <c r="M354" s="82"/>
      <c r="N354" s="82"/>
      <c r="O354" s="128">
        <f>F354+G354+H354+I354+J354+K354+L354+M354+N354</f>
        <v>0</v>
      </c>
      <c r="P354" s="199"/>
    </row>
    <row r="355" spans="2:16" s="49" customFormat="1" ht="40.5" customHeight="1">
      <c r="B355" s="24"/>
      <c r="C355" s="27"/>
      <c r="D355" s="27">
        <v>6050</v>
      </c>
      <c r="E355" s="28" t="s">
        <v>44</v>
      </c>
      <c r="F355" s="42">
        <f>30000+25000</f>
        <v>55000</v>
      </c>
      <c r="G355" s="82"/>
      <c r="H355" s="82"/>
      <c r="I355" s="82"/>
      <c r="J355" s="82"/>
      <c r="K355" s="82"/>
      <c r="L355" s="82"/>
      <c r="M355" s="82"/>
      <c r="N355" s="82"/>
      <c r="O355" s="128">
        <f>F355+G355+H355+I355+J355+K355+L355+M355+N355</f>
        <v>55000</v>
      </c>
      <c r="P355" s="199"/>
    </row>
    <row r="356" spans="2:16" s="49" customFormat="1" ht="12.75">
      <c r="B356" s="24"/>
      <c r="C356" s="14">
        <v>90095</v>
      </c>
      <c r="D356" s="14"/>
      <c r="E356" s="17" t="s">
        <v>34</v>
      </c>
      <c r="F356" s="57">
        <f>SUM(F357:F363)</f>
        <v>101200</v>
      </c>
      <c r="G356" s="58">
        <f>SUM(G357:G363)</f>
        <v>214000</v>
      </c>
      <c r="H356" s="58">
        <f aca="true" t="shared" si="72" ref="H356:N356">SUM(H357:H363)</f>
        <v>0</v>
      </c>
      <c r="I356" s="58">
        <f t="shared" si="72"/>
        <v>0</v>
      </c>
      <c r="J356" s="58">
        <f t="shared" si="72"/>
        <v>0</v>
      </c>
      <c r="K356" s="58">
        <f t="shared" si="72"/>
        <v>0</v>
      </c>
      <c r="L356" s="58">
        <f t="shared" si="72"/>
        <v>0</v>
      </c>
      <c r="M356" s="58">
        <f t="shared" si="72"/>
        <v>0</v>
      </c>
      <c r="N356" s="58">
        <f t="shared" si="72"/>
        <v>0</v>
      </c>
      <c r="O356" s="162">
        <f>SUM(O357:O363)</f>
        <v>315200</v>
      </c>
      <c r="P356" s="219"/>
    </row>
    <row r="357" spans="2:16" s="49" customFormat="1" ht="12.75">
      <c r="B357" s="24"/>
      <c r="C357" s="14"/>
      <c r="D357" s="27">
        <v>4170</v>
      </c>
      <c r="E357" s="28" t="s">
        <v>10</v>
      </c>
      <c r="F357" s="42">
        <v>25000</v>
      </c>
      <c r="G357" s="82"/>
      <c r="H357" s="82"/>
      <c r="I357" s="82"/>
      <c r="J357" s="82"/>
      <c r="K357" s="82"/>
      <c r="L357" s="82"/>
      <c r="M357" s="82"/>
      <c r="N357" s="82"/>
      <c r="O357" s="128">
        <f aca="true" t="shared" si="73" ref="O357:O363">F357+G357+H357+I357+J357+K357+L357+M357+N357</f>
        <v>25000</v>
      </c>
      <c r="P357" s="199"/>
    </row>
    <row r="358" spans="2:16" s="49" customFormat="1" ht="22.5" customHeight="1">
      <c r="B358" s="24"/>
      <c r="C358" s="14"/>
      <c r="D358" s="27">
        <v>4210</v>
      </c>
      <c r="E358" s="28" t="s">
        <v>39</v>
      </c>
      <c r="F358" s="42">
        <f>3000+2000</f>
        <v>5000</v>
      </c>
      <c r="G358" s="82"/>
      <c r="H358" s="82"/>
      <c r="I358" s="82"/>
      <c r="J358" s="82"/>
      <c r="K358" s="82"/>
      <c r="L358" s="82"/>
      <c r="M358" s="82"/>
      <c r="N358" s="82"/>
      <c r="O358" s="128">
        <f t="shared" si="73"/>
        <v>5000</v>
      </c>
      <c r="P358" s="199"/>
    </row>
    <row r="359" spans="2:16" s="49" customFormat="1" ht="15" customHeight="1">
      <c r="B359" s="24"/>
      <c r="C359" s="27"/>
      <c r="D359" s="27">
        <v>4260</v>
      </c>
      <c r="E359" s="28" t="s">
        <v>59</v>
      </c>
      <c r="F359" s="42">
        <v>2200</v>
      </c>
      <c r="G359" s="82"/>
      <c r="H359" s="82"/>
      <c r="I359" s="82"/>
      <c r="J359" s="82"/>
      <c r="K359" s="82"/>
      <c r="L359" s="82"/>
      <c r="M359" s="82"/>
      <c r="N359" s="82"/>
      <c r="O359" s="128">
        <f t="shared" si="73"/>
        <v>2200</v>
      </c>
      <c r="P359" s="199"/>
    </row>
    <row r="360" spans="2:16" s="49" customFormat="1" ht="22.5">
      <c r="B360" s="24"/>
      <c r="C360" s="27"/>
      <c r="D360" s="27">
        <v>4270</v>
      </c>
      <c r="E360" s="28" t="s">
        <v>71</v>
      </c>
      <c r="F360" s="42"/>
      <c r="G360" s="82">
        <v>2000</v>
      </c>
      <c r="H360" s="82"/>
      <c r="I360" s="82"/>
      <c r="J360" s="82"/>
      <c r="K360" s="82"/>
      <c r="L360" s="82"/>
      <c r="M360" s="82"/>
      <c r="N360" s="82"/>
      <c r="O360" s="128">
        <f t="shared" si="73"/>
        <v>2000</v>
      </c>
      <c r="P360" s="199" t="s">
        <v>300</v>
      </c>
    </row>
    <row r="361" spans="2:16" s="49" customFormat="1" ht="27" customHeight="1">
      <c r="B361" s="24"/>
      <c r="C361" s="27"/>
      <c r="D361" s="27">
        <v>4300</v>
      </c>
      <c r="E361" s="28" t="s">
        <v>41</v>
      </c>
      <c r="F361" s="42">
        <f>2000+55000</f>
        <v>57000</v>
      </c>
      <c r="G361" s="82">
        <v>12000</v>
      </c>
      <c r="H361" s="82"/>
      <c r="I361" s="82"/>
      <c r="J361" s="82"/>
      <c r="K361" s="82"/>
      <c r="L361" s="82"/>
      <c r="M361" s="82"/>
      <c r="N361" s="82"/>
      <c r="O361" s="128">
        <f t="shared" si="73"/>
        <v>69000</v>
      </c>
      <c r="P361" s="199" t="s">
        <v>301</v>
      </c>
    </row>
    <row r="362" spans="2:16" s="49" customFormat="1" ht="12.75">
      <c r="B362" s="24"/>
      <c r="C362" s="27"/>
      <c r="D362" s="27">
        <v>4430</v>
      </c>
      <c r="E362" s="28" t="s">
        <v>46</v>
      </c>
      <c r="F362" s="42">
        <v>12000</v>
      </c>
      <c r="G362" s="82"/>
      <c r="H362" s="82"/>
      <c r="I362" s="82"/>
      <c r="J362" s="82"/>
      <c r="K362" s="82"/>
      <c r="L362" s="82"/>
      <c r="M362" s="82"/>
      <c r="N362" s="82"/>
      <c r="O362" s="128">
        <f t="shared" si="73"/>
        <v>12000</v>
      </c>
      <c r="P362" s="199"/>
    </row>
    <row r="363" spans="2:16" s="49" customFormat="1" ht="25.5" customHeight="1">
      <c r="B363" s="24"/>
      <c r="C363" s="27"/>
      <c r="D363" s="27">
        <v>6050</v>
      </c>
      <c r="E363" s="28" t="s">
        <v>44</v>
      </c>
      <c r="F363" s="42"/>
      <c r="G363" s="82">
        <v>200000</v>
      </c>
      <c r="H363" s="82"/>
      <c r="I363" s="82"/>
      <c r="J363" s="82"/>
      <c r="K363" s="82"/>
      <c r="L363" s="82"/>
      <c r="M363" s="82"/>
      <c r="N363" s="82"/>
      <c r="O363" s="128">
        <f t="shared" si="73"/>
        <v>200000</v>
      </c>
      <c r="P363" s="199" t="s">
        <v>302</v>
      </c>
    </row>
    <row r="364" spans="2:16" s="49" customFormat="1" ht="28.5" customHeight="1">
      <c r="B364" s="30">
        <v>921</v>
      </c>
      <c r="C364" s="31"/>
      <c r="D364" s="31"/>
      <c r="E364" s="32" t="s">
        <v>182</v>
      </c>
      <c r="F364" s="65">
        <f>F365+F367</f>
        <v>527200</v>
      </c>
      <c r="G364" s="66">
        <f>G365+G367</f>
        <v>0</v>
      </c>
      <c r="H364" s="66">
        <f aca="true" t="shared" si="74" ref="H364:N364">H365+H367</f>
        <v>0</v>
      </c>
      <c r="I364" s="66">
        <f t="shared" si="74"/>
        <v>0</v>
      </c>
      <c r="J364" s="66">
        <f t="shared" si="74"/>
        <v>0</v>
      </c>
      <c r="K364" s="66">
        <f t="shared" si="74"/>
        <v>0</v>
      </c>
      <c r="L364" s="66">
        <f t="shared" si="74"/>
        <v>0</v>
      </c>
      <c r="M364" s="66">
        <f t="shared" si="74"/>
        <v>0</v>
      </c>
      <c r="N364" s="66">
        <f t="shared" si="74"/>
        <v>0</v>
      </c>
      <c r="O364" s="65">
        <f>O365+O367</f>
        <v>527200</v>
      </c>
      <c r="P364" s="220"/>
    </row>
    <row r="365" spans="2:16" s="49" customFormat="1" ht="25.5">
      <c r="B365" s="24"/>
      <c r="C365" s="14">
        <v>92109</v>
      </c>
      <c r="D365" s="14"/>
      <c r="E365" s="17" t="s">
        <v>11</v>
      </c>
      <c r="F365" s="57">
        <f aca="true" t="shared" si="75" ref="F365:N365">SUM(F366:F366)</f>
        <v>227200</v>
      </c>
      <c r="G365" s="58">
        <f t="shared" si="75"/>
        <v>0</v>
      </c>
      <c r="H365" s="58">
        <f t="shared" si="75"/>
        <v>0</v>
      </c>
      <c r="I365" s="58">
        <f t="shared" si="75"/>
        <v>0</v>
      </c>
      <c r="J365" s="58">
        <f t="shared" si="75"/>
        <v>0</v>
      </c>
      <c r="K365" s="58">
        <f t="shared" si="75"/>
        <v>0</v>
      </c>
      <c r="L365" s="58">
        <f t="shared" si="75"/>
        <v>0</v>
      </c>
      <c r="M365" s="58">
        <f t="shared" si="75"/>
        <v>0</v>
      </c>
      <c r="N365" s="58">
        <f t="shared" si="75"/>
        <v>0</v>
      </c>
      <c r="O365" s="162">
        <f>SUM(O366:O366)</f>
        <v>227200</v>
      </c>
      <c r="P365" s="219"/>
    </row>
    <row r="366" spans="2:16" s="49" customFormat="1" ht="38.25" customHeight="1">
      <c r="B366" s="24"/>
      <c r="C366" s="27"/>
      <c r="D366" s="27">
        <v>2480</v>
      </c>
      <c r="E366" s="28" t="s">
        <v>12</v>
      </c>
      <c r="F366" s="42">
        <v>227200</v>
      </c>
      <c r="G366" s="82"/>
      <c r="H366" s="82"/>
      <c r="I366" s="82"/>
      <c r="J366" s="82"/>
      <c r="K366" s="82"/>
      <c r="L366" s="82"/>
      <c r="M366" s="82"/>
      <c r="N366" s="82"/>
      <c r="O366" s="128">
        <f>F366+G366+H366+I366+J366+K366+L366+M366+N366</f>
        <v>227200</v>
      </c>
      <c r="P366" s="199"/>
    </row>
    <row r="367" spans="2:16" s="49" customFormat="1" ht="12.75">
      <c r="B367" s="24"/>
      <c r="C367" s="14">
        <v>92116</v>
      </c>
      <c r="D367" s="14"/>
      <c r="E367" s="17" t="s">
        <v>183</v>
      </c>
      <c r="F367" s="57">
        <f aca="true" t="shared" si="76" ref="F367:N367">SUM(F368:F368)</f>
        <v>300000</v>
      </c>
      <c r="G367" s="58">
        <f t="shared" si="76"/>
        <v>0</v>
      </c>
      <c r="H367" s="58">
        <f t="shared" si="76"/>
        <v>0</v>
      </c>
      <c r="I367" s="58">
        <f t="shared" si="76"/>
        <v>0</v>
      </c>
      <c r="J367" s="58">
        <f t="shared" si="76"/>
        <v>0</v>
      </c>
      <c r="K367" s="58">
        <f t="shared" si="76"/>
        <v>0</v>
      </c>
      <c r="L367" s="58">
        <f t="shared" si="76"/>
        <v>0</v>
      </c>
      <c r="M367" s="58">
        <f t="shared" si="76"/>
        <v>0</v>
      </c>
      <c r="N367" s="58">
        <f t="shared" si="76"/>
        <v>0</v>
      </c>
      <c r="O367" s="162">
        <f>SUM(O368:O368)</f>
        <v>300000</v>
      </c>
      <c r="P367" s="219"/>
    </row>
    <row r="368" spans="2:16" s="49" customFormat="1" ht="39.75" customHeight="1">
      <c r="B368" s="24"/>
      <c r="C368" s="27"/>
      <c r="D368" s="27">
        <v>2480</v>
      </c>
      <c r="E368" s="28" t="s">
        <v>12</v>
      </c>
      <c r="F368" s="42">
        <v>300000</v>
      </c>
      <c r="G368" s="82"/>
      <c r="H368" s="82"/>
      <c r="I368" s="82"/>
      <c r="J368" s="82"/>
      <c r="K368" s="82"/>
      <c r="L368" s="82"/>
      <c r="M368" s="82"/>
      <c r="N368" s="82"/>
      <c r="O368" s="128">
        <f>F368+G368+H368+I368+J368+K368+L368+M368+N368</f>
        <v>300000</v>
      </c>
      <c r="P368" s="199"/>
    </row>
    <row r="369" spans="2:16" s="49" customFormat="1" ht="28.5" customHeight="1">
      <c r="B369" s="30">
        <v>926</v>
      </c>
      <c r="C369" s="31"/>
      <c r="D369" s="31"/>
      <c r="E369" s="32" t="s">
        <v>13</v>
      </c>
      <c r="F369" s="65">
        <f>F370+F373</f>
        <v>793632</v>
      </c>
      <c r="G369" s="254">
        <f>G370+G373</f>
        <v>857000</v>
      </c>
      <c r="H369" s="66">
        <f aca="true" t="shared" si="77" ref="H369:N369">H370+H373</f>
        <v>0</v>
      </c>
      <c r="I369" s="66">
        <f t="shared" si="77"/>
        <v>0</v>
      </c>
      <c r="J369" s="66">
        <f t="shared" si="77"/>
        <v>0</v>
      </c>
      <c r="K369" s="66">
        <f t="shared" si="77"/>
        <v>0</v>
      </c>
      <c r="L369" s="66">
        <f t="shared" si="77"/>
        <v>0</v>
      </c>
      <c r="M369" s="66">
        <f t="shared" si="77"/>
        <v>0</v>
      </c>
      <c r="N369" s="66">
        <f t="shared" si="77"/>
        <v>0</v>
      </c>
      <c r="O369" s="65">
        <f>O370+O373</f>
        <v>1650632</v>
      </c>
      <c r="P369" s="220"/>
    </row>
    <row r="370" spans="2:16" s="49" customFormat="1" ht="28.5" customHeight="1">
      <c r="B370" s="24"/>
      <c r="C370" s="14">
        <v>92605</v>
      </c>
      <c r="D370" s="14"/>
      <c r="E370" s="17" t="s">
        <v>14</v>
      </c>
      <c r="F370" s="57">
        <f>SUM(F371:F371)</f>
        <v>33000</v>
      </c>
      <c r="G370" s="252">
        <f>SUM(G371:G371)</f>
        <v>-3000</v>
      </c>
      <c r="H370" s="58">
        <f aca="true" t="shared" si="78" ref="H370:N370">SUM(H371:H371)</f>
        <v>0</v>
      </c>
      <c r="I370" s="58">
        <f>SUM(I371:I372)</f>
        <v>0</v>
      </c>
      <c r="J370" s="39">
        <f>SUM(J371:J372)</f>
        <v>0</v>
      </c>
      <c r="K370" s="58">
        <f t="shared" si="78"/>
        <v>0</v>
      </c>
      <c r="L370" s="58">
        <f t="shared" si="78"/>
        <v>0</v>
      </c>
      <c r="M370" s="58">
        <f t="shared" si="78"/>
        <v>0</v>
      </c>
      <c r="N370" s="58">
        <f t="shared" si="78"/>
        <v>0</v>
      </c>
      <c r="O370" s="162">
        <f>SUM(O371:O372)</f>
        <v>30000</v>
      </c>
      <c r="P370" s="219"/>
    </row>
    <row r="371" spans="2:16" s="49" customFormat="1" ht="45">
      <c r="B371" s="24"/>
      <c r="C371" s="14"/>
      <c r="D371" s="27">
        <v>2820</v>
      </c>
      <c r="E371" s="28" t="s">
        <v>196</v>
      </c>
      <c r="F371" s="62">
        <v>33000</v>
      </c>
      <c r="G371" s="257">
        <v>-3000</v>
      </c>
      <c r="H371" s="64"/>
      <c r="I371" s="64"/>
      <c r="J371" s="64"/>
      <c r="K371" s="64"/>
      <c r="L371" s="64"/>
      <c r="M371" s="64"/>
      <c r="N371" s="64"/>
      <c r="O371" s="128">
        <f>F371+G371+H371+I371+J371+K371+L371+M371+N371</f>
        <v>30000</v>
      </c>
      <c r="P371" s="222" t="s">
        <v>303</v>
      </c>
    </row>
    <row r="372" spans="2:16" s="49" customFormat="1" ht="12.75" customHeight="1" hidden="1">
      <c r="B372" s="24"/>
      <c r="C372" s="14"/>
      <c r="D372" s="27">
        <v>4270</v>
      </c>
      <c r="E372" s="28" t="s">
        <v>71</v>
      </c>
      <c r="F372" s="62"/>
      <c r="G372" s="64"/>
      <c r="H372" s="64"/>
      <c r="I372" s="64"/>
      <c r="J372" s="64"/>
      <c r="K372" s="64"/>
      <c r="L372" s="64"/>
      <c r="M372" s="64"/>
      <c r="N372" s="64"/>
      <c r="O372" s="128">
        <f>F372+G372+H372+I372+J372+K372+L372+M372+N372</f>
        <v>0</v>
      </c>
      <c r="P372" s="199"/>
    </row>
    <row r="373" spans="2:16" s="49" customFormat="1" ht="30" customHeight="1">
      <c r="B373" s="24"/>
      <c r="C373" s="14">
        <v>92695</v>
      </c>
      <c r="D373" s="14"/>
      <c r="E373" s="17" t="s">
        <v>34</v>
      </c>
      <c r="F373" s="57">
        <f>SUM(F374:F381)</f>
        <v>760632</v>
      </c>
      <c r="G373" s="252">
        <f>SUM(G374:G380)</f>
        <v>860000</v>
      </c>
      <c r="H373" s="58">
        <f aca="true" t="shared" si="79" ref="H373:N373">SUM(H374:H380)</f>
        <v>0</v>
      </c>
      <c r="I373" s="58">
        <f>SUM(I374:I381)</f>
        <v>0</v>
      </c>
      <c r="J373" s="58">
        <f t="shared" si="79"/>
        <v>0</v>
      </c>
      <c r="K373" s="58">
        <f t="shared" si="79"/>
        <v>0</v>
      </c>
      <c r="L373" s="58">
        <f t="shared" si="79"/>
        <v>0</v>
      </c>
      <c r="M373" s="58">
        <f t="shared" si="79"/>
        <v>0</v>
      </c>
      <c r="N373" s="58">
        <f t="shared" si="79"/>
        <v>0</v>
      </c>
      <c r="O373" s="162">
        <f>SUM(O374:O381)</f>
        <v>1620632</v>
      </c>
      <c r="P373" s="219"/>
    </row>
    <row r="374" spans="2:16" s="49" customFormat="1" ht="40.5" customHeight="1">
      <c r="B374" s="24"/>
      <c r="C374" s="27"/>
      <c r="D374" s="27">
        <v>4170</v>
      </c>
      <c r="E374" s="28" t="s">
        <v>63</v>
      </c>
      <c r="F374" s="42">
        <f>3120+832+3680+2000</f>
        <v>9632</v>
      </c>
      <c r="G374" s="82"/>
      <c r="H374" s="82"/>
      <c r="I374" s="82"/>
      <c r="J374" s="82"/>
      <c r="K374" s="82"/>
      <c r="L374" s="82"/>
      <c r="M374" s="82"/>
      <c r="N374" s="82"/>
      <c r="O374" s="128">
        <f aca="true" t="shared" si="80" ref="O374:O381">F374+G374+H374+I374+J374+K374+L374+M374+N374</f>
        <v>9632</v>
      </c>
      <c r="P374" s="199"/>
    </row>
    <row r="375" spans="2:16" s="49" customFormat="1" ht="42.75" customHeight="1">
      <c r="B375" s="24"/>
      <c r="C375" s="27"/>
      <c r="D375" s="27">
        <v>4210</v>
      </c>
      <c r="E375" s="28" t="s">
        <v>39</v>
      </c>
      <c r="F375" s="42">
        <v>20000</v>
      </c>
      <c r="G375" s="82"/>
      <c r="H375" s="82"/>
      <c r="I375" s="82"/>
      <c r="J375" s="82"/>
      <c r="K375" s="82"/>
      <c r="L375" s="82"/>
      <c r="M375" s="82"/>
      <c r="N375" s="82"/>
      <c r="O375" s="128">
        <f t="shared" si="80"/>
        <v>20000</v>
      </c>
      <c r="P375" s="199"/>
    </row>
    <row r="376" spans="2:16" s="49" customFormat="1" ht="18.75" customHeight="1">
      <c r="B376" s="24"/>
      <c r="C376" s="27"/>
      <c r="D376" s="27">
        <v>4260</v>
      </c>
      <c r="E376" s="28" t="s">
        <v>59</v>
      </c>
      <c r="F376" s="42">
        <v>20000</v>
      </c>
      <c r="G376" s="230">
        <v>-3000</v>
      </c>
      <c r="H376" s="82"/>
      <c r="I376" s="82"/>
      <c r="J376" s="82"/>
      <c r="K376" s="82"/>
      <c r="L376" s="82"/>
      <c r="M376" s="82"/>
      <c r="N376" s="82"/>
      <c r="O376" s="128">
        <f t="shared" si="80"/>
        <v>17000</v>
      </c>
      <c r="P376" s="446" t="s">
        <v>304</v>
      </c>
    </row>
    <row r="377" spans="2:16" s="49" customFormat="1" ht="28.5" customHeight="1">
      <c r="B377" s="24"/>
      <c r="C377" s="27"/>
      <c r="D377" s="27">
        <v>4300</v>
      </c>
      <c r="E377" s="28" t="s">
        <v>41</v>
      </c>
      <c r="F377" s="42">
        <v>60000</v>
      </c>
      <c r="G377" s="230">
        <v>-20000</v>
      </c>
      <c r="H377" s="82"/>
      <c r="I377" s="82"/>
      <c r="J377" s="82"/>
      <c r="K377" s="82"/>
      <c r="L377" s="82"/>
      <c r="M377" s="82"/>
      <c r="N377" s="82"/>
      <c r="O377" s="128">
        <f t="shared" si="80"/>
        <v>40000</v>
      </c>
      <c r="P377" s="447"/>
    </row>
    <row r="378" spans="2:16" s="49" customFormat="1" ht="12.75" customHeight="1" hidden="1">
      <c r="B378" s="24"/>
      <c r="C378" s="27"/>
      <c r="D378" s="27">
        <v>4410</v>
      </c>
      <c r="E378" s="28" t="s">
        <v>60</v>
      </c>
      <c r="F378" s="42"/>
      <c r="G378" s="82"/>
      <c r="H378" s="82"/>
      <c r="I378" s="82"/>
      <c r="J378" s="82"/>
      <c r="K378" s="82"/>
      <c r="L378" s="82"/>
      <c r="M378" s="82"/>
      <c r="N378" s="82"/>
      <c r="O378" s="128">
        <f t="shared" si="80"/>
        <v>0</v>
      </c>
      <c r="P378" s="199"/>
    </row>
    <row r="379" spans="2:16" s="49" customFormat="1" ht="12.75">
      <c r="B379" s="24"/>
      <c r="C379" s="27"/>
      <c r="D379" s="27">
        <v>4430</v>
      </c>
      <c r="E379" s="28" t="s">
        <v>46</v>
      </c>
      <c r="F379" s="42">
        <v>1000</v>
      </c>
      <c r="G379" s="82"/>
      <c r="H379" s="82"/>
      <c r="I379" s="82"/>
      <c r="J379" s="82"/>
      <c r="K379" s="82"/>
      <c r="L379" s="82"/>
      <c r="M379" s="82"/>
      <c r="N379" s="82"/>
      <c r="O379" s="128">
        <f t="shared" si="80"/>
        <v>1000</v>
      </c>
      <c r="P379" s="199"/>
    </row>
    <row r="380" spans="2:16" s="49" customFormat="1" ht="25.5">
      <c r="B380" s="136"/>
      <c r="C380" s="201"/>
      <c r="D380" s="27">
        <v>6050</v>
      </c>
      <c r="E380" s="28" t="s">
        <v>44</v>
      </c>
      <c r="F380" s="42">
        <f>50000+600000</f>
        <v>650000</v>
      </c>
      <c r="G380" s="82">
        <v>883000</v>
      </c>
      <c r="H380" s="82"/>
      <c r="I380" s="82"/>
      <c r="J380" s="82"/>
      <c r="K380" s="82"/>
      <c r="L380" s="82"/>
      <c r="M380" s="82"/>
      <c r="N380" s="82"/>
      <c r="O380" s="128">
        <f t="shared" si="80"/>
        <v>1533000</v>
      </c>
      <c r="P380" s="200" t="s">
        <v>305</v>
      </c>
    </row>
    <row r="381" spans="2:16" s="49" customFormat="1" ht="28.5" customHeight="1" hidden="1">
      <c r="B381" s="136"/>
      <c r="C381" s="201"/>
      <c r="D381" s="201">
        <v>6060</v>
      </c>
      <c r="E381" s="28" t="s">
        <v>55</v>
      </c>
      <c r="F381" s="211"/>
      <c r="G381" s="212"/>
      <c r="H381" s="212"/>
      <c r="I381" s="212"/>
      <c r="J381" s="212"/>
      <c r="K381" s="212"/>
      <c r="L381" s="212"/>
      <c r="M381" s="212"/>
      <c r="N381" s="212"/>
      <c r="O381" s="128">
        <f t="shared" si="80"/>
        <v>0</v>
      </c>
      <c r="P381" s="223"/>
    </row>
    <row r="382" spans="2:16" s="49" customFormat="1" ht="28.5" customHeight="1" thickBot="1">
      <c r="B382" s="258"/>
      <c r="C382" s="259"/>
      <c r="D382" s="259"/>
      <c r="E382" s="260" t="s">
        <v>79</v>
      </c>
      <c r="F382" s="261">
        <f>F5+F25+F33+F49+F94+F103+F137+F140+F277+F298+F349+F364+F369+F41+F134+F128+F21+F346</f>
        <v>18101642</v>
      </c>
      <c r="G382" s="262">
        <f aca="true" t="shared" si="81" ref="G382:N382">G5+G25+G33+G49+G94+G103+G137+G140+G277+G298+G349+G364+G369+G41+G134+G128+G21+G346</f>
        <v>915387</v>
      </c>
      <c r="H382" s="263">
        <f t="shared" si="81"/>
        <v>0</v>
      </c>
      <c r="I382" s="263">
        <f t="shared" si="81"/>
        <v>0</v>
      </c>
      <c r="J382" s="264">
        <f t="shared" si="81"/>
        <v>0</v>
      </c>
      <c r="K382" s="264">
        <f t="shared" si="81"/>
        <v>0</v>
      </c>
      <c r="L382" s="165">
        <f t="shared" si="81"/>
        <v>0</v>
      </c>
      <c r="M382" s="166">
        <f t="shared" si="81"/>
        <v>0</v>
      </c>
      <c r="N382" s="165">
        <f t="shared" si="81"/>
        <v>0</v>
      </c>
      <c r="O382" s="261">
        <f>O5+O25+O33+O49+O94+O103+O137+O140+O277+O298+O349+O364+O369+O41+O134+O128+O21+O346</f>
        <v>19017029</v>
      </c>
      <c r="P382" s="265"/>
    </row>
    <row r="383" spans="5:16" s="49" customFormat="1" ht="41.25" customHeight="1">
      <c r="E383" s="91"/>
      <c r="F383" s="91"/>
      <c r="G383" s="92"/>
      <c r="H383" s="92">
        <f>'[1]Dochody zał.Nr 1'!H132-'[1]Wydatki zał.Nr 2'!J383</f>
        <v>0</v>
      </c>
      <c r="I383" s="92">
        <f>'[1]Dochody zał.Nr 1'!I132-'[1]Wydatki zał.Nr 2'!K383</f>
        <v>0</v>
      </c>
      <c r="J383" s="92"/>
      <c r="K383" s="92">
        <f>'[1]Dochody zał.Nr 1'!K132-'[1]Wydatki zał.Nr 2'!M383</f>
        <v>0</v>
      </c>
      <c r="L383" s="91"/>
      <c r="M383" s="92"/>
      <c r="N383" s="92"/>
      <c r="O383" s="96"/>
      <c r="P383" s="202"/>
    </row>
    <row r="384" ht="28.5" customHeight="1">
      <c r="O384" s="155"/>
    </row>
    <row r="385" ht="28.5" customHeight="1">
      <c r="O385" s="155"/>
    </row>
    <row r="386" ht="28.5" customHeight="1">
      <c r="O386" s="155"/>
    </row>
    <row r="387" ht="28.5" customHeight="1">
      <c r="O387" s="155"/>
    </row>
    <row r="388" ht="28.5" customHeight="1">
      <c r="O388" s="155"/>
    </row>
    <row r="389" ht="28.5" customHeight="1">
      <c r="O389" s="155"/>
    </row>
    <row r="390" ht="28.5" customHeight="1">
      <c r="O390" s="155"/>
    </row>
    <row r="391" ht="28.5" customHeight="1">
      <c r="O391" s="155"/>
    </row>
    <row r="392" ht="28.5" customHeight="1">
      <c r="O392" s="155"/>
    </row>
    <row r="393" ht="28.5" customHeight="1">
      <c r="O393" s="155"/>
    </row>
    <row r="394" ht="28.5" customHeight="1">
      <c r="O394" s="155"/>
    </row>
    <row r="395" ht="28.5" customHeight="1">
      <c r="O395" s="155"/>
    </row>
    <row r="396" ht="28.5" customHeight="1">
      <c r="O396" s="155"/>
    </row>
    <row r="397" ht="28.5" customHeight="1">
      <c r="O397" s="155"/>
    </row>
    <row r="398" ht="28.5" customHeight="1">
      <c r="O398" s="155"/>
    </row>
    <row r="399" ht="28.5" customHeight="1">
      <c r="O399" s="155"/>
    </row>
    <row r="400" ht="28.5" customHeight="1">
      <c r="O400" s="155"/>
    </row>
    <row r="401" ht="28.5" customHeight="1">
      <c r="O401" s="155"/>
    </row>
    <row r="402" ht="28.5" customHeight="1">
      <c r="O402" s="155"/>
    </row>
    <row r="403" ht="28.5" customHeight="1">
      <c r="O403" s="155"/>
    </row>
    <row r="404" ht="28.5" customHeight="1">
      <c r="O404" s="155"/>
    </row>
    <row r="405" ht="28.5" customHeight="1">
      <c r="O405" s="155"/>
    </row>
    <row r="406" ht="28.5" customHeight="1">
      <c r="O406" s="155"/>
    </row>
    <row r="407" ht="28.5" customHeight="1">
      <c r="O407" s="155"/>
    </row>
    <row r="408" ht="28.5" customHeight="1">
      <c r="O408" s="155"/>
    </row>
    <row r="409" ht="28.5" customHeight="1">
      <c r="O409" s="155"/>
    </row>
    <row r="410" ht="28.5" customHeight="1">
      <c r="O410" s="155"/>
    </row>
    <row r="411" ht="28.5" customHeight="1">
      <c r="O411" s="155"/>
    </row>
    <row r="412" ht="28.5" customHeight="1">
      <c r="O412" s="155"/>
    </row>
    <row r="413" ht="28.5" customHeight="1">
      <c r="O413" s="155"/>
    </row>
    <row r="414" ht="28.5" customHeight="1">
      <c r="O414" s="155"/>
    </row>
    <row r="415" ht="28.5" customHeight="1">
      <c r="O415" s="155"/>
    </row>
    <row r="416" ht="28.5" customHeight="1">
      <c r="O416" s="155"/>
    </row>
    <row r="417" ht="28.5" customHeight="1">
      <c r="O417" s="155"/>
    </row>
    <row r="418" ht="28.5" customHeight="1">
      <c r="O418" s="155"/>
    </row>
    <row r="419" ht="28.5" customHeight="1">
      <c r="O419" s="155"/>
    </row>
    <row r="420" ht="28.5" customHeight="1">
      <c r="O420" s="155"/>
    </row>
    <row r="421" ht="28.5" customHeight="1">
      <c r="O421" s="155"/>
    </row>
    <row r="422" ht="28.5" customHeight="1">
      <c r="O422" s="155"/>
    </row>
  </sheetData>
  <sheetProtection/>
  <mergeCells count="15">
    <mergeCell ref="P18:P19"/>
    <mergeCell ref="P56:P60"/>
    <mergeCell ref="P64:P85"/>
    <mergeCell ref="P124:P127"/>
    <mergeCell ref="P142:P162"/>
    <mergeCell ref="P166:P176"/>
    <mergeCell ref="P185:P205"/>
    <mergeCell ref="P209:P228"/>
    <mergeCell ref="P347:P348"/>
    <mergeCell ref="P352:P353"/>
    <mergeCell ref="P376:P377"/>
    <mergeCell ref="P241:P254"/>
    <mergeCell ref="P280:P294"/>
    <mergeCell ref="P300:P304"/>
    <mergeCell ref="P317:P336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150" zoomScaleNormal="150" zoomScalePageLayoutView="0" workbookViewId="0" topLeftCell="A1">
      <selection activeCell="A1" sqref="A1:Y36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7.8515625" style="21" customWidth="1"/>
    <col min="4" max="4" width="31.7109375" style="21" customWidth="1"/>
    <col min="5" max="5" width="14.8515625" style="3" customWidth="1"/>
    <col min="6" max="9" width="10.8515625" style="270" hidden="1" customWidth="1"/>
    <col min="10" max="21" width="15.57421875" style="21" hidden="1" customWidth="1"/>
    <col min="22" max="22" width="7.8515625" style="21" customWidth="1"/>
    <col min="23" max="23" width="6.140625" style="21" customWidth="1"/>
    <col min="24" max="24" width="24.421875" style="21" customWidth="1"/>
    <col min="25" max="25" width="19.421875" style="21" customWidth="1"/>
    <col min="26" max="16384" width="9.140625" style="21" customWidth="1"/>
  </cols>
  <sheetData>
    <row r="1" spans="5:25" ht="12.75" customHeight="1">
      <c r="E1" s="266"/>
      <c r="F1" s="267"/>
      <c r="G1" s="267"/>
      <c r="H1" s="267"/>
      <c r="I1" s="267"/>
      <c r="J1" s="4"/>
      <c r="X1" s="485" t="s">
        <v>306</v>
      </c>
      <c r="Y1" s="485"/>
    </row>
    <row r="2" spans="6:25" ht="12.75">
      <c r="F2" s="268"/>
      <c r="G2" s="268"/>
      <c r="H2" s="268"/>
      <c r="I2" s="268"/>
      <c r="J2" s="269"/>
      <c r="X2" s="485"/>
      <c r="Y2" s="485"/>
    </row>
    <row r="3" spans="1:25" ht="15.75">
      <c r="A3" s="486" t="s">
        <v>307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4" spans="1:25" ht="15.75">
      <c r="A4" s="486" t="s">
        <v>308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</row>
    <row r="5" spans="1:22" ht="13.5" thickBot="1">
      <c r="A5" s="19"/>
      <c r="B5" s="20"/>
      <c r="C5" s="20"/>
      <c r="V5" s="271"/>
    </row>
    <row r="6" spans="1:25" s="105" customFormat="1" ht="16.5" thickBot="1">
      <c r="A6" s="233" t="s">
        <v>15</v>
      </c>
      <c r="B6" s="233" t="s">
        <v>16</v>
      </c>
      <c r="C6" s="233" t="s">
        <v>17</v>
      </c>
      <c r="D6" s="233" t="s">
        <v>18</v>
      </c>
      <c r="E6" s="233" t="s">
        <v>309</v>
      </c>
      <c r="F6" s="272" t="s">
        <v>19</v>
      </c>
      <c r="G6" s="273"/>
      <c r="H6" s="274"/>
      <c r="I6" s="274"/>
      <c r="J6" s="233" t="s">
        <v>310</v>
      </c>
      <c r="K6" s="275" t="s">
        <v>311</v>
      </c>
      <c r="L6" s="275" t="s">
        <v>312</v>
      </c>
      <c r="M6" s="275" t="s">
        <v>313</v>
      </c>
      <c r="N6" s="275" t="s">
        <v>314</v>
      </c>
      <c r="O6" s="275" t="s">
        <v>315</v>
      </c>
      <c r="P6" s="275" t="s">
        <v>316</v>
      </c>
      <c r="Q6" s="275" t="s">
        <v>317</v>
      </c>
      <c r="R6" s="275" t="s">
        <v>318</v>
      </c>
      <c r="S6" s="275" t="s">
        <v>319</v>
      </c>
      <c r="T6" s="275" t="s">
        <v>320</v>
      </c>
      <c r="U6" s="275" t="s">
        <v>321</v>
      </c>
      <c r="V6" s="233" t="s">
        <v>16</v>
      </c>
      <c r="W6" s="233" t="s">
        <v>17</v>
      </c>
      <c r="X6" s="233" t="s">
        <v>18</v>
      </c>
      <c r="Y6" s="276" t="s">
        <v>322</v>
      </c>
    </row>
    <row r="7" spans="1:25" s="2" customFormat="1" ht="12.75">
      <c r="A7" s="277"/>
      <c r="B7" s="277"/>
      <c r="C7" s="277"/>
      <c r="D7" s="277"/>
      <c r="E7" s="278"/>
      <c r="F7" s="279"/>
      <c r="G7" s="279"/>
      <c r="H7" s="279"/>
      <c r="I7" s="279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8"/>
      <c r="X7" s="278"/>
      <c r="Y7" s="278"/>
    </row>
    <row r="8" spans="1:25" s="2" customFormat="1" ht="12.75" hidden="1">
      <c r="A8" s="172" t="s">
        <v>37</v>
      </c>
      <c r="B8" s="173"/>
      <c r="C8" s="173"/>
      <c r="D8" s="174" t="s">
        <v>38</v>
      </c>
      <c r="E8" s="280">
        <f>E9</f>
        <v>0</v>
      </c>
      <c r="F8" s="281"/>
      <c r="G8" s="281"/>
      <c r="H8" s="281"/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3"/>
      <c r="X8" s="283"/>
      <c r="Y8" s="284">
        <f>Y9</f>
        <v>0</v>
      </c>
    </row>
    <row r="9" spans="1:25" s="2" customFormat="1" ht="12.75" hidden="1">
      <c r="A9" s="285"/>
      <c r="B9" s="179" t="s">
        <v>45</v>
      </c>
      <c r="C9" s="7"/>
      <c r="D9" s="8" t="s">
        <v>34</v>
      </c>
      <c r="E9" s="286">
        <f>E10</f>
        <v>0</v>
      </c>
      <c r="F9" s="287"/>
      <c r="G9" s="287"/>
      <c r="H9" s="287"/>
      <c r="I9" s="287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 t="s">
        <v>45</v>
      </c>
      <c r="W9" s="7"/>
      <c r="X9" s="8" t="s">
        <v>34</v>
      </c>
      <c r="Y9" s="288">
        <f>SUM(Y10:Y12)</f>
        <v>0</v>
      </c>
    </row>
    <row r="10" spans="1:25" s="2" customFormat="1" ht="26.25" customHeight="1" hidden="1">
      <c r="A10" s="285"/>
      <c r="B10" s="285"/>
      <c r="C10" s="433">
        <v>2010</v>
      </c>
      <c r="D10" s="436" t="s">
        <v>26</v>
      </c>
      <c r="E10" s="487"/>
      <c r="F10" s="287"/>
      <c r="G10" s="287"/>
      <c r="H10" s="287"/>
      <c r="I10" s="287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27">
        <v>4210</v>
      </c>
      <c r="X10" s="28" t="s">
        <v>39</v>
      </c>
      <c r="Y10" s="42"/>
    </row>
    <row r="11" spans="1:25" s="2" customFormat="1" ht="17.25" customHeight="1" hidden="1">
      <c r="A11" s="285"/>
      <c r="B11" s="285"/>
      <c r="C11" s="434"/>
      <c r="D11" s="437"/>
      <c r="E11" s="488"/>
      <c r="F11" s="287"/>
      <c r="G11" s="287"/>
      <c r="H11" s="287"/>
      <c r="I11" s="28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27">
        <v>4300</v>
      </c>
      <c r="X11" s="28" t="s">
        <v>41</v>
      </c>
      <c r="Y11" s="42"/>
    </row>
    <row r="12" spans="1:25" s="2" customFormat="1" ht="12.75" hidden="1">
      <c r="A12" s="285"/>
      <c r="B12" s="285"/>
      <c r="C12" s="435"/>
      <c r="D12" s="438"/>
      <c r="E12" s="489"/>
      <c r="F12" s="287"/>
      <c r="G12" s="287"/>
      <c r="H12" s="287"/>
      <c r="I12" s="287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9">
        <v>4430</v>
      </c>
      <c r="X12" s="11" t="s">
        <v>46</v>
      </c>
      <c r="Y12" s="42"/>
    </row>
    <row r="13" spans="1:25" s="4" customFormat="1" ht="12.75">
      <c r="A13" s="5">
        <v>750</v>
      </c>
      <c r="B13" s="5"/>
      <c r="C13" s="5"/>
      <c r="D13" s="6" t="s">
        <v>25</v>
      </c>
      <c r="E13" s="100">
        <f>E14</f>
        <v>58100</v>
      </c>
      <c r="F13" s="100">
        <f>F14</f>
        <v>0</v>
      </c>
      <c r="G13" s="100">
        <f>G14</f>
        <v>0</v>
      </c>
      <c r="H13" s="100">
        <f>H14</f>
        <v>0</v>
      </c>
      <c r="I13" s="290" t="e">
        <f>I14+#REF!+#REF!</f>
        <v>#REF!</v>
      </c>
      <c r="J13" s="100">
        <f aca="true" t="shared" si="0" ref="J13:U13">J14</f>
        <v>2983</v>
      </c>
      <c r="K13" s="100">
        <f t="shared" si="0"/>
        <v>3596</v>
      </c>
      <c r="L13" s="100">
        <f t="shared" si="0"/>
        <v>2893</v>
      </c>
      <c r="M13" s="100">
        <f t="shared" si="0"/>
        <v>0</v>
      </c>
      <c r="N13" s="100">
        <f t="shared" si="0"/>
        <v>3200</v>
      </c>
      <c r="O13" s="100">
        <f t="shared" si="0"/>
        <v>0</v>
      </c>
      <c r="P13" s="100">
        <f t="shared" si="0"/>
        <v>0</v>
      </c>
      <c r="Q13" s="100">
        <f t="shared" si="0"/>
        <v>0</v>
      </c>
      <c r="R13" s="100">
        <f t="shared" si="0"/>
        <v>0</v>
      </c>
      <c r="S13" s="100">
        <f t="shared" si="0"/>
        <v>0</v>
      </c>
      <c r="T13" s="100">
        <f t="shared" si="0"/>
        <v>0</v>
      </c>
      <c r="U13" s="100">
        <f t="shared" si="0"/>
        <v>0</v>
      </c>
      <c r="V13" s="291"/>
      <c r="W13" s="292"/>
      <c r="X13" s="292"/>
      <c r="Y13" s="291">
        <f>Y14</f>
        <v>58100</v>
      </c>
    </row>
    <row r="14" spans="1:25" s="4" customFormat="1" ht="17.25" customHeight="1">
      <c r="A14" s="467">
        <v>75011</v>
      </c>
      <c r="B14" s="468"/>
      <c r="C14" s="7"/>
      <c r="D14" s="8" t="s">
        <v>143</v>
      </c>
      <c r="E14" s="246">
        <f>SUM(E15:E15)</f>
        <v>58100</v>
      </c>
      <c r="F14" s="112">
        <f aca="true" t="shared" si="1" ref="F14:U14">SUM(F15:F15)</f>
        <v>0</v>
      </c>
      <c r="G14" s="293">
        <f t="shared" si="1"/>
        <v>0</v>
      </c>
      <c r="H14" s="293">
        <f t="shared" si="1"/>
        <v>0</v>
      </c>
      <c r="I14" s="293">
        <f t="shared" si="1"/>
        <v>0</v>
      </c>
      <c r="J14" s="113">
        <f t="shared" si="1"/>
        <v>2983</v>
      </c>
      <c r="K14" s="113">
        <f t="shared" si="1"/>
        <v>3596</v>
      </c>
      <c r="L14" s="113">
        <f t="shared" si="1"/>
        <v>2893</v>
      </c>
      <c r="M14" s="113">
        <f t="shared" si="1"/>
        <v>0</v>
      </c>
      <c r="N14" s="113">
        <f t="shared" si="1"/>
        <v>3200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113">
        <f t="shared" si="1"/>
        <v>0</v>
      </c>
      <c r="S14" s="113">
        <f t="shared" si="1"/>
        <v>0</v>
      </c>
      <c r="T14" s="113">
        <f t="shared" si="1"/>
        <v>0</v>
      </c>
      <c r="U14" s="113">
        <f t="shared" si="1"/>
        <v>0</v>
      </c>
      <c r="V14" s="7">
        <v>75011</v>
      </c>
      <c r="W14" s="7"/>
      <c r="X14" s="8" t="s">
        <v>143</v>
      </c>
      <c r="Y14" s="294">
        <f>Y15+Y16</f>
        <v>58100</v>
      </c>
    </row>
    <row r="15" spans="1:25" s="4" customFormat="1" ht="25.5">
      <c r="A15" s="481"/>
      <c r="B15" s="482"/>
      <c r="C15" s="433">
        <v>2010</v>
      </c>
      <c r="D15" s="436" t="s">
        <v>26</v>
      </c>
      <c r="E15" s="473">
        <v>58100</v>
      </c>
      <c r="F15" s="296"/>
      <c r="G15" s="297"/>
      <c r="H15" s="297"/>
      <c r="I15" s="297"/>
      <c r="J15" s="298">
        <v>2983</v>
      </c>
      <c r="K15" s="298">
        <v>3596</v>
      </c>
      <c r="L15" s="298">
        <v>2893</v>
      </c>
      <c r="M15" s="298"/>
      <c r="N15" s="298">
        <v>3200</v>
      </c>
      <c r="O15" s="298"/>
      <c r="P15" s="298"/>
      <c r="Q15" s="298"/>
      <c r="R15" s="298"/>
      <c r="S15" s="298"/>
      <c r="T15" s="298"/>
      <c r="U15" s="298"/>
      <c r="V15" s="475"/>
      <c r="W15" s="27">
        <v>4010</v>
      </c>
      <c r="X15" s="28" t="s">
        <v>57</v>
      </c>
      <c r="Y15" s="106">
        <v>50478</v>
      </c>
    </row>
    <row r="16" spans="1:25" s="4" customFormat="1" ht="33.75" customHeight="1">
      <c r="A16" s="483"/>
      <c r="B16" s="484"/>
      <c r="C16" s="435"/>
      <c r="D16" s="438"/>
      <c r="E16" s="474"/>
      <c r="F16" s="296"/>
      <c r="G16" s="297"/>
      <c r="H16" s="297"/>
      <c r="I16" s="297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476"/>
      <c r="W16" s="27">
        <v>4110</v>
      </c>
      <c r="X16" s="28" t="s">
        <v>58</v>
      </c>
      <c r="Y16" s="106">
        <v>7622</v>
      </c>
    </row>
    <row r="17" spans="1:25" s="4" customFormat="1" ht="38.25">
      <c r="A17" s="5">
        <v>751</v>
      </c>
      <c r="B17" s="190"/>
      <c r="C17" s="190"/>
      <c r="D17" s="6" t="s">
        <v>200</v>
      </c>
      <c r="E17" s="301">
        <f>E18</f>
        <v>1150</v>
      </c>
      <c r="F17" s="296"/>
      <c r="G17" s="297"/>
      <c r="H17" s="297"/>
      <c r="I17" s="297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302"/>
      <c r="W17" s="41"/>
      <c r="X17" s="303"/>
      <c r="Y17" s="304">
        <f>Y18</f>
        <v>1150</v>
      </c>
    </row>
    <row r="18" spans="1:25" s="4" customFormat="1" ht="38.25">
      <c r="A18" s="477">
        <v>75101</v>
      </c>
      <c r="B18" s="478"/>
      <c r="C18" s="12"/>
      <c r="D18" s="102" t="s">
        <v>201</v>
      </c>
      <c r="E18" s="305">
        <f>E19</f>
        <v>1150</v>
      </c>
      <c r="F18" s="296"/>
      <c r="G18" s="297"/>
      <c r="H18" s="297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12">
        <v>75101</v>
      </c>
      <c r="W18" s="27"/>
      <c r="X18" s="102" t="s">
        <v>201</v>
      </c>
      <c r="Y18" s="306">
        <f>Y19</f>
        <v>1150</v>
      </c>
    </row>
    <row r="19" spans="1:25" s="4" customFormat="1" ht="59.25" customHeight="1">
      <c r="A19" s="465"/>
      <c r="B19" s="466"/>
      <c r="C19" s="9">
        <v>2010</v>
      </c>
      <c r="D19" s="11" t="s">
        <v>26</v>
      </c>
      <c r="E19" s="300">
        <v>1150</v>
      </c>
      <c r="F19" s="296"/>
      <c r="G19" s="297"/>
      <c r="H19" s="297"/>
      <c r="I19" s="297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7">
        <v>4300</v>
      </c>
      <c r="X19" s="28" t="s">
        <v>41</v>
      </c>
      <c r="Y19" s="300">
        <v>1150</v>
      </c>
    </row>
    <row r="20" spans="1:25" s="4" customFormat="1" ht="25.5" hidden="1">
      <c r="A20" s="5">
        <v>754</v>
      </c>
      <c r="B20" s="5"/>
      <c r="C20" s="5"/>
      <c r="D20" s="6" t="s">
        <v>72</v>
      </c>
      <c r="E20" s="100">
        <f aca="true" t="shared" si="2" ref="E20:U20">E21</f>
        <v>0</v>
      </c>
      <c r="F20" s="290">
        <f t="shared" si="2"/>
        <v>0</v>
      </c>
      <c r="G20" s="290">
        <f t="shared" si="2"/>
        <v>0</v>
      </c>
      <c r="H20" s="290">
        <f t="shared" si="2"/>
        <v>0</v>
      </c>
      <c r="I20" s="29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200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291"/>
      <c r="W20" s="292"/>
      <c r="X20" s="292"/>
      <c r="Y20" s="291">
        <f>Y21</f>
        <v>0</v>
      </c>
    </row>
    <row r="21" spans="1:25" s="4" customFormat="1" ht="12.75" hidden="1">
      <c r="A21" s="467">
        <v>75414</v>
      </c>
      <c r="B21" s="468"/>
      <c r="C21" s="7"/>
      <c r="D21" s="8" t="s">
        <v>75</v>
      </c>
      <c r="E21" s="246">
        <f aca="true" t="shared" si="3" ref="E21:U21">SUM(E22)</f>
        <v>0</v>
      </c>
      <c r="F21" s="293">
        <f t="shared" si="3"/>
        <v>0</v>
      </c>
      <c r="G21" s="293">
        <f t="shared" si="3"/>
        <v>0</v>
      </c>
      <c r="H21" s="293">
        <f t="shared" si="3"/>
        <v>0</v>
      </c>
      <c r="I21" s="293">
        <f t="shared" si="3"/>
        <v>0</v>
      </c>
      <c r="J21" s="113">
        <f t="shared" si="3"/>
        <v>0</v>
      </c>
      <c r="K21" s="113">
        <f t="shared" si="3"/>
        <v>0</v>
      </c>
      <c r="L21" s="113">
        <f t="shared" si="3"/>
        <v>0</v>
      </c>
      <c r="M21" s="113">
        <f t="shared" si="3"/>
        <v>200</v>
      </c>
      <c r="N21" s="113">
        <f t="shared" si="3"/>
        <v>0</v>
      </c>
      <c r="O21" s="113">
        <f t="shared" si="3"/>
        <v>0</v>
      </c>
      <c r="P21" s="113">
        <f t="shared" si="3"/>
        <v>0</v>
      </c>
      <c r="Q21" s="113">
        <f t="shared" si="3"/>
        <v>0</v>
      </c>
      <c r="R21" s="113">
        <f t="shared" si="3"/>
        <v>0</v>
      </c>
      <c r="S21" s="113">
        <f t="shared" si="3"/>
        <v>0</v>
      </c>
      <c r="T21" s="113">
        <f t="shared" si="3"/>
        <v>0</v>
      </c>
      <c r="U21" s="113">
        <f t="shared" si="3"/>
        <v>0</v>
      </c>
      <c r="V21" s="7">
        <v>75414</v>
      </c>
      <c r="W21" s="7"/>
      <c r="X21" s="8" t="s">
        <v>75</v>
      </c>
      <c r="Y21" s="294">
        <f>Y22</f>
        <v>0</v>
      </c>
    </row>
    <row r="22" spans="1:25" s="4" customFormat="1" ht="63.75" hidden="1">
      <c r="A22" s="469"/>
      <c r="B22" s="470"/>
      <c r="C22" s="9">
        <v>2010</v>
      </c>
      <c r="D22" s="11" t="s">
        <v>26</v>
      </c>
      <c r="E22" s="106"/>
      <c r="F22" s="297"/>
      <c r="G22" s="297"/>
      <c r="H22" s="297"/>
      <c r="I22" s="297"/>
      <c r="J22" s="298"/>
      <c r="K22" s="298"/>
      <c r="L22" s="298"/>
      <c r="M22" s="298">
        <v>200</v>
      </c>
      <c r="N22" s="298"/>
      <c r="O22" s="298"/>
      <c r="P22" s="298"/>
      <c r="Q22" s="298"/>
      <c r="R22" s="298"/>
      <c r="S22" s="298"/>
      <c r="T22" s="298"/>
      <c r="U22" s="298"/>
      <c r="V22" s="298"/>
      <c r="W22" s="9">
        <v>4210</v>
      </c>
      <c r="X22" s="11" t="s">
        <v>39</v>
      </c>
      <c r="Y22" s="298"/>
    </row>
    <row r="23" spans="1:25" s="4" customFormat="1" ht="12.75">
      <c r="A23" s="5">
        <v>852</v>
      </c>
      <c r="B23" s="5"/>
      <c r="C23" s="5"/>
      <c r="D23" s="6" t="s">
        <v>167</v>
      </c>
      <c r="E23" s="100">
        <f>E34+E32+E24</f>
        <v>1698700</v>
      </c>
      <c r="F23" s="290" t="e">
        <f>F34+#REF!+#REF!+#REF!+F32+#REF!+#REF!</f>
        <v>#REF!</v>
      </c>
      <c r="G23" s="290" t="e">
        <f>G34+#REF!+#REF!+#REF!+G32+#REF!+#REF!</f>
        <v>#REF!</v>
      </c>
      <c r="H23" s="290" t="e">
        <f>H34+#REF!+#REF!+#REF!+H32+#REF!+#REF!</f>
        <v>#REF!</v>
      </c>
      <c r="I23" s="290" t="e">
        <f>I34+#REF!+#REF!+#REF!+I32+#REF!+#REF!</f>
        <v>#REF!</v>
      </c>
      <c r="J23" s="100" t="e">
        <f>J34+#REF!+#REF!+#REF!+J32+#REF!+#REF!</f>
        <v>#REF!</v>
      </c>
      <c r="K23" s="100" t="e">
        <f>K34+#REF!+#REF!+#REF!+K32+#REF!+#REF!</f>
        <v>#REF!</v>
      </c>
      <c r="L23" s="100" t="e">
        <f>L34+#REF!+#REF!+#REF!+L32+#REF!+#REF!</f>
        <v>#REF!</v>
      </c>
      <c r="M23" s="100" t="e">
        <f>M34+#REF!+#REF!+#REF!+M32+#REF!+#REF!</f>
        <v>#REF!</v>
      </c>
      <c r="N23" s="100" t="e">
        <f>N34+#REF!+#REF!+#REF!+N32+#REF!+#REF!</f>
        <v>#REF!</v>
      </c>
      <c r="O23" s="100" t="e">
        <f>O34+#REF!+#REF!+#REF!+O32+#REF!+#REF!</f>
        <v>#REF!</v>
      </c>
      <c r="P23" s="100" t="e">
        <f>P34+#REF!+#REF!+#REF!+P32+#REF!+#REF!</f>
        <v>#REF!</v>
      </c>
      <c r="Q23" s="100" t="e">
        <f>Q34+#REF!+#REF!+#REF!+Q32+#REF!+#REF!</f>
        <v>#REF!</v>
      </c>
      <c r="R23" s="100" t="e">
        <f>R34+#REF!+#REF!+#REF!+R32+#REF!+#REF!</f>
        <v>#REF!</v>
      </c>
      <c r="S23" s="100" t="e">
        <f>S34+#REF!+#REF!+#REF!+S32+#REF!+#REF!</f>
        <v>#REF!</v>
      </c>
      <c r="T23" s="100" t="e">
        <f>T34+#REF!+#REF!+#REF!+T32+#REF!+#REF!</f>
        <v>#REF!</v>
      </c>
      <c r="U23" s="100" t="e">
        <f>U34+#REF!+#REF!+#REF!+U32+#REF!+#REF!</f>
        <v>#REF!</v>
      </c>
      <c r="V23" s="291"/>
      <c r="W23" s="292"/>
      <c r="X23" s="292"/>
      <c r="Y23" s="291">
        <f>Y34+Y32+Y24</f>
        <v>1698700</v>
      </c>
    </row>
    <row r="24" spans="1:25" s="310" customFormat="1" ht="51">
      <c r="A24" s="479">
        <v>85212</v>
      </c>
      <c r="B24" s="480"/>
      <c r="C24" s="103"/>
      <c r="D24" s="8" t="s">
        <v>323</v>
      </c>
      <c r="E24" s="307">
        <f>SUM(E25:E29)</f>
        <v>1652900</v>
      </c>
      <c r="F24" s="308"/>
      <c r="G24" s="308"/>
      <c r="H24" s="308"/>
      <c r="I24" s="308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04">
        <v>85212</v>
      </c>
      <c r="W24" s="103"/>
      <c r="X24" s="8" t="s">
        <v>323</v>
      </c>
      <c r="Y24" s="307">
        <f>SUM(Y25:Y31)</f>
        <v>1652900</v>
      </c>
    </row>
    <row r="25" spans="1:25" s="310" customFormat="1" ht="18" customHeight="1">
      <c r="A25" s="457"/>
      <c r="B25" s="458"/>
      <c r="C25" s="433">
        <v>2010</v>
      </c>
      <c r="D25" s="436" t="s">
        <v>26</v>
      </c>
      <c r="E25" s="429">
        <v>1652900</v>
      </c>
      <c r="F25" s="308"/>
      <c r="G25" s="308"/>
      <c r="H25" s="308"/>
      <c r="I25" s="308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462"/>
      <c r="W25" s="9">
        <v>3110</v>
      </c>
      <c r="X25" s="11" t="s">
        <v>172</v>
      </c>
      <c r="Y25" s="37">
        <v>1603313</v>
      </c>
    </row>
    <row r="26" spans="1:25" s="310" customFormat="1" ht="25.5">
      <c r="A26" s="459"/>
      <c r="B26" s="460"/>
      <c r="C26" s="434"/>
      <c r="D26" s="437"/>
      <c r="E26" s="430"/>
      <c r="F26" s="308"/>
      <c r="G26" s="308"/>
      <c r="H26" s="308"/>
      <c r="I26" s="308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463"/>
      <c r="W26" s="9">
        <v>4010</v>
      </c>
      <c r="X26" s="11" t="s">
        <v>57</v>
      </c>
      <c r="Y26" s="37">
        <v>32311</v>
      </c>
    </row>
    <row r="27" spans="1:25" s="310" customFormat="1" ht="24.75" customHeight="1">
      <c r="A27" s="459"/>
      <c r="B27" s="460"/>
      <c r="C27" s="434"/>
      <c r="D27" s="437"/>
      <c r="E27" s="430"/>
      <c r="F27" s="308"/>
      <c r="G27" s="308"/>
      <c r="H27" s="308"/>
      <c r="I27" s="308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463"/>
      <c r="W27" s="9">
        <v>4110</v>
      </c>
      <c r="X27" s="11" t="s">
        <v>58</v>
      </c>
      <c r="Y27" s="37">
        <v>4879</v>
      </c>
    </row>
    <row r="28" spans="1:25" s="310" customFormat="1" ht="27" customHeight="1">
      <c r="A28" s="459"/>
      <c r="B28" s="460"/>
      <c r="C28" s="434"/>
      <c r="D28" s="437"/>
      <c r="E28" s="430"/>
      <c r="F28" s="308"/>
      <c r="G28" s="308"/>
      <c r="H28" s="308"/>
      <c r="I28" s="308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463"/>
      <c r="W28" s="9">
        <v>4210</v>
      </c>
      <c r="X28" s="11" t="s">
        <v>39</v>
      </c>
      <c r="Y28" s="37">
        <v>1000</v>
      </c>
    </row>
    <row r="29" spans="1:25" s="310" customFormat="1" ht="13.5" customHeight="1">
      <c r="A29" s="459"/>
      <c r="B29" s="460"/>
      <c r="C29" s="434"/>
      <c r="D29" s="437"/>
      <c r="E29" s="430"/>
      <c r="F29" s="308"/>
      <c r="G29" s="308"/>
      <c r="H29" s="308"/>
      <c r="I29" s="308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463"/>
      <c r="W29" s="9">
        <v>4300</v>
      </c>
      <c r="X29" s="11" t="s">
        <v>41</v>
      </c>
      <c r="Y29" s="37">
        <v>8504</v>
      </c>
    </row>
    <row r="30" spans="1:25" s="310" customFormat="1" ht="13.5" customHeight="1">
      <c r="A30" s="459"/>
      <c r="B30" s="460"/>
      <c r="C30" s="434"/>
      <c r="D30" s="437"/>
      <c r="E30" s="430"/>
      <c r="F30" s="308"/>
      <c r="G30" s="308"/>
      <c r="H30" s="308"/>
      <c r="I30" s="308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463"/>
      <c r="W30" s="9">
        <v>4410</v>
      </c>
      <c r="X30" s="11" t="s">
        <v>60</v>
      </c>
      <c r="Y30" s="37">
        <v>893</v>
      </c>
    </row>
    <row r="31" spans="1:25" s="310" customFormat="1" ht="38.25">
      <c r="A31" s="461"/>
      <c r="B31" s="432"/>
      <c r="C31" s="435"/>
      <c r="D31" s="438"/>
      <c r="E31" s="431"/>
      <c r="F31" s="308"/>
      <c r="G31" s="308"/>
      <c r="H31" s="308"/>
      <c r="I31" s="308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464"/>
      <c r="W31" s="27">
        <v>4700</v>
      </c>
      <c r="X31" s="28" t="s">
        <v>204</v>
      </c>
      <c r="Y31" s="37">
        <v>2000</v>
      </c>
    </row>
    <row r="32" spans="1:25" s="110" customFormat="1" ht="66" customHeight="1">
      <c r="A32" s="467">
        <v>85213</v>
      </c>
      <c r="B32" s="468"/>
      <c r="C32" s="7"/>
      <c r="D32" s="8" t="s">
        <v>324</v>
      </c>
      <c r="E32" s="311">
        <f>E33</f>
        <v>9200</v>
      </c>
      <c r="F32" s="312">
        <f aca="true" t="shared" si="4" ref="F32:K32">F33</f>
        <v>0</v>
      </c>
      <c r="G32" s="312">
        <f t="shared" si="4"/>
        <v>0</v>
      </c>
      <c r="H32" s="312">
        <f t="shared" si="4"/>
        <v>2500</v>
      </c>
      <c r="I32" s="312">
        <f t="shared" si="4"/>
        <v>0</v>
      </c>
      <c r="J32" s="101">
        <f t="shared" si="4"/>
        <v>1183</v>
      </c>
      <c r="K32" s="101">
        <f t="shared" si="4"/>
        <v>805</v>
      </c>
      <c r="L32" s="101">
        <f>L33</f>
        <v>582</v>
      </c>
      <c r="M32" s="101">
        <f>M33</f>
        <v>1183</v>
      </c>
      <c r="N32" s="101">
        <f>N33</f>
        <v>2163</v>
      </c>
      <c r="O32" s="101"/>
      <c r="P32" s="101"/>
      <c r="Q32" s="101"/>
      <c r="R32" s="101"/>
      <c r="S32" s="101"/>
      <c r="T32" s="101"/>
      <c r="U32" s="101"/>
      <c r="V32" s="7">
        <v>85213</v>
      </c>
      <c r="W32" s="7"/>
      <c r="X32" s="8" t="s">
        <v>324</v>
      </c>
      <c r="Y32" s="311">
        <f>Y33</f>
        <v>9200</v>
      </c>
    </row>
    <row r="33" spans="1:25" s="110" customFormat="1" ht="57" customHeight="1">
      <c r="A33" s="465"/>
      <c r="B33" s="466"/>
      <c r="C33" s="9">
        <v>2010</v>
      </c>
      <c r="D33" s="11" t="s">
        <v>26</v>
      </c>
      <c r="E33" s="114">
        <v>9200</v>
      </c>
      <c r="F33" s="312"/>
      <c r="G33" s="312"/>
      <c r="H33" s="13">
        <v>2500</v>
      </c>
      <c r="I33" s="312"/>
      <c r="J33" s="114">
        <v>1183</v>
      </c>
      <c r="K33" s="114">
        <v>805</v>
      </c>
      <c r="L33" s="114">
        <v>582</v>
      </c>
      <c r="M33" s="114">
        <v>1183</v>
      </c>
      <c r="N33" s="114">
        <v>2163</v>
      </c>
      <c r="O33" s="101"/>
      <c r="P33" s="101"/>
      <c r="Q33" s="101"/>
      <c r="R33" s="101"/>
      <c r="S33" s="101"/>
      <c r="T33" s="101"/>
      <c r="U33" s="101"/>
      <c r="V33" s="101"/>
      <c r="W33" s="9">
        <v>4130</v>
      </c>
      <c r="X33" s="11" t="s">
        <v>173</v>
      </c>
      <c r="Y33" s="114">
        <v>9200</v>
      </c>
    </row>
    <row r="34" spans="1:25" s="4" customFormat="1" ht="38.25">
      <c r="A34" s="467">
        <v>85214</v>
      </c>
      <c r="B34" s="468"/>
      <c r="C34" s="7"/>
      <c r="D34" s="8" t="s">
        <v>325</v>
      </c>
      <c r="E34" s="246">
        <f aca="true" t="shared" si="5" ref="E34:U34">E35</f>
        <v>36600</v>
      </c>
      <c r="F34" s="293">
        <f t="shared" si="5"/>
        <v>0</v>
      </c>
      <c r="G34" s="293">
        <f t="shared" si="5"/>
        <v>53000</v>
      </c>
      <c r="H34" s="293">
        <f t="shared" si="5"/>
        <v>14800</v>
      </c>
      <c r="I34" s="293">
        <f t="shared" si="5"/>
        <v>0</v>
      </c>
      <c r="J34" s="113">
        <f t="shared" si="5"/>
        <v>20100</v>
      </c>
      <c r="K34" s="113">
        <f t="shared" si="5"/>
        <v>32427</v>
      </c>
      <c r="L34" s="113">
        <f t="shared" si="5"/>
        <v>22000</v>
      </c>
      <c r="M34" s="113">
        <f t="shared" si="5"/>
        <v>20100</v>
      </c>
      <c r="N34" s="113">
        <f t="shared" si="5"/>
        <v>29168</v>
      </c>
      <c r="O34" s="113">
        <f t="shared" si="5"/>
        <v>0</v>
      </c>
      <c r="P34" s="113">
        <f t="shared" si="5"/>
        <v>0</v>
      </c>
      <c r="Q34" s="113">
        <f t="shared" si="5"/>
        <v>0</v>
      </c>
      <c r="R34" s="113">
        <f t="shared" si="5"/>
        <v>0</v>
      </c>
      <c r="S34" s="113">
        <f t="shared" si="5"/>
        <v>0</v>
      </c>
      <c r="T34" s="113">
        <f t="shared" si="5"/>
        <v>0</v>
      </c>
      <c r="U34" s="113">
        <f t="shared" si="5"/>
        <v>0</v>
      </c>
      <c r="V34" s="7">
        <v>85214</v>
      </c>
      <c r="W34" s="7"/>
      <c r="X34" s="8" t="s">
        <v>325</v>
      </c>
      <c r="Y34" s="246">
        <f>Y35</f>
        <v>36600</v>
      </c>
    </row>
    <row r="35" spans="1:25" s="4" customFormat="1" ht="55.5" customHeight="1">
      <c r="A35" s="469"/>
      <c r="B35" s="470"/>
      <c r="C35" s="289">
        <v>2010</v>
      </c>
      <c r="D35" s="313" t="s">
        <v>26</v>
      </c>
      <c r="E35" s="314">
        <v>36600</v>
      </c>
      <c r="F35" s="315"/>
      <c r="G35" s="315">
        <v>53000</v>
      </c>
      <c r="H35" s="315">
        <v>14800</v>
      </c>
      <c r="I35" s="315"/>
      <c r="J35" s="106">
        <v>20100</v>
      </c>
      <c r="K35" s="106">
        <v>32427</v>
      </c>
      <c r="L35" s="106">
        <v>22000</v>
      </c>
      <c r="M35" s="106">
        <v>20100</v>
      </c>
      <c r="N35" s="106">
        <v>29168</v>
      </c>
      <c r="O35" s="106"/>
      <c r="P35" s="106"/>
      <c r="Q35" s="106"/>
      <c r="R35" s="106"/>
      <c r="S35" s="106"/>
      <c r="T35" s="106"/>
      <c r="U35" s="106"/>
      <c r="V35" s="299"/>
      <c r="W35" s="9">
        <v>3110</v>
      </c>
      <c r="X35" s="11" t="s">
        <v>172</v>
      </c>
      <c r="Y35" s="42">
        <v>36600</v>
      </c>
    </row>
    <row r="36" spans="1:25" s="321" customFormat="1" ht="15">
      <c r="A36" s="471"/>
      <c r="B36" s="472"/>
      <c r="C36" s="316"/>
      <c r="D36" s="317" t="s">
        <v>79</v>
      </c>
      <c r="E36" s="318">
        <f>E13+E20+E23+E17+E8</f>
        <v>1757950</v>
      </c>
      <c r="F36" s="318" t="e">
        <f>F13+F20+#REF!+F23+#REF!</f>
        <v>#REF!</v>
      </c>
      <c r="G36" s="318" t="e">
        <f>G13+G20+#REF!+G23+#REF!</f>
        <v>#REF!</v>
      </c>
      <c r="H36" s="318" t="e">
        <f>H13+H20+#REF!+H23+#REF!</f>
        <v>#REF!</v>
      </c>
      <c r="I36" s="318" t="e">
        <f>I13+I20+#REF!+I23+#REF!</f>
        <v>#REF!</v>
      </c>
      <c r="J36" s="318" t="e">
        <f>J13+J20+#REF!+J23+#REF!</f>
        <v>#REF!</v>
      </c>
      <c r="K36" s="318" t="e">
        <f>K13+K20+#REF!+K23+#REF!</f>
        <v>#REF!</v>
      </c>
      <c r="L36" s="318" t="e">
        <f>L13+L20+#REF!+L23+#REF!</f>
        <v>#REF!</v>
      </c>
      <c r="M36" s="318" t="e">
        <f>M13+M20+#REF!+M23+#REF!</f>
        <v>#REF!</v>
      </c>
      <c r="N36" s="318" t="e">
        <f>N13+N20+#REF!+N23+#REF!</f>
        <v>#REF!</v>
      </c>
      <c r="O36" s="318" t="e">
        <f>O13+O20+#REF!+O23+#REF!</f>
        <v>#REF!</v>
      </c>
      <c r="P36" s="318" t="e">
        <f>P13+P20+#REF!+P23+#REF!</f>
        <v>#REF!</v>
      </c>
      <c r="Q36" s="318" t="e">
        <f>Q13+Q20+#REF!+Q23+#REF!</f>
        <v>#REF!</v>
      </c>
      <c r="R36" s="318" t="e">
        <f>R13+R20+#REF!+R23+#REF!</f>
        <v>#REF!</v>
      </c>
      <c r="S36" s="318" t="e">
        <f>S13+S20+#REF!+S23+#REF!</f>
        <v>#REF!</v>
      </c>
      <c r="T36" s="318" t="e">
        <f>T13+T20+#REF!+T23+#REF!</f>
        <v>#REF!</v>
      </c>
      <c r="U36" s="318" t="e">
        <f>U13+U20+#REF!+U23+#REF!</f>
        <v>#REF!</v>
      </c>
      <c r="V36" s="455"/>
      <c r="W36" s="456"/>
      <c r="X36" s="319"/>
      <c r="Y36" s="320">
        <f>Y13+Y20+Y23+Y17+Y8</f>
        <v>1757950</v>
      </c>
    </row>
    <row r="37" spans="5:25" s="4" customFormat="1" ht="12.75">
      <c r="E37" s="115"/>
      <c r="F37" s="267"/>
      <c r="G37" s="267"/>
      <c r="H37" s="267"/>
      <c r="I37" s="267"/>
      <c r="Y37" s="249"/>
    </row>
    <row r="38" spans="5:25" s="4" customFormat="1" ht="12.75">
      <c r="E38" s="116"/>
      <c r="F38" s="322"/>
      <c r="G38" s="322"/>
      <c r="H38" s="322"/>
      <c r="I38" s="322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Y38" s="249"/>
    </row>
    <row r="39" spans="5:25" s="4" customFormat="1" ht="12.75">
      <c r="E39" s="116"/>
      <c r="F39" s="322"/>
      <c r="G39" s="322"/>
      <c r="H39" s="322"/>
      <c r="I39" s="322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Y39" s="249"/>
    </row>
    <row r="40" spans="5:25" s="4" customFormat="1" ht="12.75">
      <c r="E40" s="115"/>
      <c r="F40" s="267"/>
      <c r="G40" s="267"/>
      <c r="H40" s="267"/>
      <c r="I40" s="267"/>
      <c r="Y40" s="249"/>
    </row>
    <row r="41" spans="5:25" s="4" customFormat="1" ht="12.75">
      <c r="E41" s="115"/>
      <c r="F41" s="267"/>
      <c r="G41" s="267"/>
      <c r="H41" s="267"/>
      <c r="I41" s="267"/>
      <c r="Y41" s="249"/>
    </row>
    <row r="42" spans="5:25" s="4" customFormat="1" ht="12.75">
      <c r="E42" s="115"/>
      <c r="F42" s="267"/>
      <c r="G42" s="267"/>
      <c r="H42" s="267"/>
      <c r="I42" s="267"/>
      <c r="Y42" s="249"/>
    </row>
    <row r="43" spans="5:25" s="4" customFormat="1" ht="12.75">
      <c r="E43" s="115"/>
      <c r="F43" s="267"/>
      <c r="G43" s="267"/>
      <c r="H43" s="267"/>
      <c r="I43" s="267"/>
      <c r="Y43" s="249"/>
    </row>
    <row r="44" spans="5:25" s="4" customFormat="1" ht="12.75">
      <c r="E44" s="115"/>
      <c r="F44" s="267"/>
      <c r="G44" s="267"/>
      <c r="H44" s="267"/>
      <c r="I44" s="267"/>
      <c r="Y44" s="249"/>
    </row>
    <row r="45" ht="12.75">
      <c r="Y45" s="323"/>
    </row>
    <row r="46" ht="12.75">
      <c r="Y46" s="323"/>
    </row>
    <row r="47" ht="12.75">
      <c r="Y47" s="323"/>
    </row>
    <row r="48" ht="12.75">
      <c r="Y48" s="323"/>
    </row>
    <row r="49" ht="12.75">
      <c r="Y49" s="323"/>
    </row>
    <row r="50" ht="12.75">
      <c r="Y50" s="323"/>
    </row>
    <row r="51" ht="12.75">
      <c r="Y51" s="323"/>
    </row>
    <row r="52" ht="12.75">
      <c r="Y52" s="323"/>
    </row>
    <row r="53" ht="12.75">
      <c r="Y53" s="323"/>
    </row>
    <row r="54" ht="12.75">
      <c r="Y54" s="323"/>
    </row>
    <row r="55" ht="12.75">
      <c r="Y55" s="323"/>
    </row>
    <row r="56" ht="12.75">
      <c r="Y56" s="323"/>
    </row>
    <row r="57" ht="12.75">
      <c r="Y57" s="323"/>
    </row>
    <row r="58" ht="12.75">
      <c r="Y58" s="323"/>
    </row>
    <row r="59" ht="12.75">
      <c r="Y59" s="323"/>
    </row>
    <row r="60" ht="12.75">
      <c r="Y60" s="323"/>
    </row>
    <row r="61" ht="12.75">
      <c r="Y61" s="323"/>
    </row>
    <row r="62" ht="12.75">
      <c r="Y62" s="323"/>
    </row>
    <row r="63" ht="12.75">
      <c r="Y63" s="323"/>
    </row>
    <row r="64" ht="12.75">
      <c r="Y64" s="323"/>
    </row>
    <row r="65" ht="12.75">
      <c r="Y65" s="323"/>
    </row>
    <row r="66" ht="12.75">
      <c r="Y66" s="323"/>
    </row>
    <row r="67" ht="12.75">
      <c r="Y67" s="323"/>
    </row>
  </sheetData>
  <sheetProtection/>
  <mergeCells count="28">
    <mergeCell ref="X1:Y2"/>
    <mergeCell ref="A3:Y3"/>
    <mergeCell ref="A4:Y4"/>
    <mergeCell ref="C10:C12"/>
    <mergeCell ref="D10:D12"/>
    <mergeCell ref="E10:E12"/>
    <mergeCell ref="A14:B14"/>
    <mergeCell ref="A15:B16"/>
    <mergeCell ref="C15:C16"/>
    <mergeCell ref="D15:D16"/>
    <mergeCell ref="E15:E16"/>
    <mergeCell ref="A32:B32"/>
    <mergeCell ref="V15:V16"/>
    <mergeCell ref="A18:B18"/>
    <mergeCell ref="A19:B19"/>
    <mergeCell ref="A21:B21"/>
    <mergeCell ref="A22:B22"/>
    <mergeCell ref="A24:B24"/>
    <mergeCell ref="V36:W36"/>
    <mergeCell ref="A25:B31"/>
    <mergeCell ref="C25:C31"/>
    <mergeCell ref="D25:D31"/>
    <mergeCell ref="E25:E31"/>
    <mergeCell ref="V25:V31"/>
    <mergeCell ref="A33:B33"/>
    <mergeCell ref="A34:B34"/>
    <mergeCell ref="A35:B35"/>
    <mergeCell ref="A36:B36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150" zoomScaleNormal="150" zoomScalePageLayoutView="0" workbookViewId="0" topLeftCell="A1">
      <selection activeCell="B21" sqref="B21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4.57421875" style="0" customWidth="1"/>
    <col min="4" max="4" width="14.57421875" style="325" customWidth="1"/>
    <col min="5" max="6" width="14.57421875" style="0" customWidth="1"/>
    <col min="7" max="7" width="10.57421875" style="325" hidden="1" customWidth="1"/>
    <col min="8" max="8" width="12.8515625" style="0" hidden="1" customWidth="1"/>
    <col min="9" max="9" width="43.8515625" style="0" customWidth="1"/>
    <col min="10" max="10" width="14.7109375" style="0" customWidth="1"/>
    <col min="11" max="11" width="12.7109375" style="0" bestFit="1" customWidth="1"/>
    <col min="13" max="13" width="12.00390625" style="0" customWidth="1"/>
  </cols>
  <sheetData>
    <row r="1" spans="3:9" ht="12.75">
      <c r="C1" s="119"/>
      <c r="D1" s="324"/>
      <c r="E1" s="119"/>
      <c r="F1" s="119"/>
      <c r="G1" s="324"/>
      <c r="H1" s="119"/>
      <c r="I1" s="119"/>
    </row>
    <row r="2" spans="3:11" ht="17.25" customHeight="1">
      <c r="C2" s="119"/>
      <c r="D2" s="324"/>
      <c r="E2" s="119"/>
      <c r="F2" s="119"/>
      <c r="G2" s="119"/>
      <c r="H2" s="119"/>
      <c r="I2" s="119"/>
      <c r="K2" s="490"/>
    </row>
    <row r="3" spans="3:11" ht="24" customHeight="1">
      <c r="C3" s="119"/>
      <c r="D3" s="324"/>
      <c r="E3" s="119"/>
      <c r="F3" s="168"/>
      <c r="G3" s="119"/>
      <c r="H3" s="119"/>
      <c r="I3" s="204" t="s">
        <v>326</v>
      </c>
      <c r="J3" s="204"/>
      <c r="K3" s="490"/>
    </row>
    <row r="4" spans="1:10" ht="20.25">
      <c r="A4" s="491" t="s">
        <v>327</v>
      </c>
      <c r="B4" s="491"/>
      <c r="C4" s="491"/>
      <c r="D4" s="491"/>
      <c r="E4" s="491"/>
      <c r="F4" s="491"/>
      <c r="I4" s="204"/>
      <c r="J4" s="204"/>
    </row>
    <row r="5" spans="1:9" ht="12.75">
      <c r="A5" s="225"/>
      <c r="B5" s="224"/>
      <c r="C5" s="224"/>
      <c r="D5" s="326"/>
      <c r="E5" s="224"/>
      <c r="F5" s="266"/>
      <c r="G5" s="327"/>
      <c r="H5" s="266"/>
      <c r="I5" s="266"/>
    </row>
    <row r="6" spans="1:9" ht="12.75">
      <c r="A6" s="225"/>
      <c r="B6" s="224"/>
      <c r="C6" s="224"/>
      <c r="D6" s="326"/>
      <c r="E6" s="224"/>
      <c r="F6" s="224"/>
      <c r="G6" s="326"/>
      <c r="H6" s="224"/>
      <c r="I6" s="224"/>
    </row>
    <row r="7" spans="1:9" ht="42.75">
      <c r="A7" s="328" t="s">
        <v>17</v>
      </c>
      <c r="B7" s="328" t="s">
        <v>328</v>
      </c>
      <c r="C7" s="329" t="s">
        <v>329</v>
      </c>
      <c r="D7" s="330" t="s">
        <v>330</v>
      </c>
      <c r="E7" s="329" t="s">
        <v>331</v>
      </c>
      <c r="F7" s="329" t="s">
        <v>332</v>
      </c>
      <c r="G7" s="330" t="s">
        <v>330</v>
      </c>
      <c r="H7" s="329" t="s">
        <v>333</v>
      </c>
      <c r="I7" s="329" t="s">
        <v>20</v>
      </c>
    </row>
    <row r="8" spans="1:9" ht="12.75">
      <c r="A8" s="331"/>
      <c r="B8" s="331"/>
      <c r="C8" s="331"/>
      <c r="D8" s="332"/>
      <c r="E8" s="333"/>
      <c r="F8" s="333"/>
      <c r="G8" s="332"/>
      <c r="H8" s="333"/>
      <c r="I8" s="333"/>
    </row>
    <row r="9" spans="1:9" ht="47.25" customHeight="1">
      <c r="A9" s="334">
        <v>952</v>
      </c>
      <c r="B9" s="313" t="s">
        <v>334</v>
      </c>
      <c r="C9" s="314">
        <v>900000</v>
      </c>
      <c r="D9" s="335">
        <v>-100000</v>
      </c>
      <c r="E9" s="295">
        <f>C9+D9</f>
        <v>800000</v>
      </c>
      <c r="F9" s="336"/>
      <c r="G9" s="337"/>
      <c r="H9" s="336"/>
      <c r="I9" s="338" t="s">
        <v>335</v>
      </c>
    </row>
    <row r="10" spans="1:9" s="341" customFormat="1" ht="32.25" customHeight="1">
      <c r="A10" s="334">
        <v>955</v>
      </c>
      <c r="B10" s="313" t="s">
        <v>336</v>
      </c>
      <c r="C10" s="314"/>
      <c r="D10" s="339">
        <v>696988</v>
      </c>
      <c r="E10" s="295">
        <f>C10+D10</f>
        <v>696988</v>
      </c>
      <c r="F10" s="313"/>
      <c r="G10" s="340"/>
      <c r="H10" s="313"/>
      <c r="I10" s="338" t="s">
        <v>337</v>
      </c>
    </row>
    <row r="11" spans="1:9" s="341" customFormat="1" ht="13.5" customHeight="1">
      <c r="A11" s="342"/>
      <c r="B11" s="343"/>
      <c r="C11" s="344"/>
      <c r="D11" s="345"/>
      <c r="E11" s="344"/>
      <c r="F11" s="344"/>
      <c r="G11" s="345"/>
      <c r="H11" s="344"/>
      <c r="I11" s="344"/>
    </row>
    <row r="12" spans="1:9" s="350" customFormat="1" ht="38.25">
      <c r="A12" s="179">
        <v>992</v>
      </c>
      <c r="B12" s="11" t="s">
        <v>338</v>
      </c>
      <c r="C12" s="346"/>
      <c r="D12" s="347"/>
      <c r="E12" s="346"/>
      <c r="F12" s="298">
        <v>382565</v>
      </c>
      <c r="G12" s="348"/>
      <c r="H12" s="298">
        <f>F12+G12</f>
        <v>382565</v>
      </c>
      <c r="I12" s="349"/>
    </row>
    <row r="13" spans="1:9" s="354" customFormat="1" ht="57.75" customHeight="1" hidden="1">
      <c r="A13" s="179">
        <v>963</v>
      </c>
      <c r="B13" s="11" t="s">
        <v>339</v>
      </c>
      <c r="C13" s="351"/>
      <c r="D13" s="352"/>
      <c r="E13" s="351"/>
      <c r="F13" s="298"/>
      <c r="G13" s="296"/>
      <c r="H13" s="298">
        <f>F13+G13</f>
        <v>0</v>
      </c>
      <c r="I13" s="353"/>
    </row>
    <row r="14" spans="1:9" s="341" customFormat="1" ht="12.75">
      <c r="A14" s="355"/>
      <c r="B14" s="356"/>
      <c r="C14" s="357"/>
      <c r="D14" s="358"/>
      <c r="E14" s="357"/>
      <c r="F14" s="357"/>
      <c r="G14" s="358"/>
      <c r="H14" s="357"/>
      <c r="I14" s="357"/>
    </row>
    <row r="15" spans="1:9" ht="24.75" customHeight="1">
      <c r="A15" s="359"/>
      <c r="B15" s="359"/>
      <c r="C15" s="360">
        <f>SUM(C9:C10)</f>
        <v>900000</v>
      </c>
      <c r="D15" s="361">
        <f>SUM(D9:D10)</f>
        <v>596988</v>
      </c>
      <c r="E15" s="360">
        <f>SUM(E9:E10)</f>
        <v>1496988</v>
      </c>
      <c r="F15" s="360">
        <f>SUM(F11:F13)</f>
        <v>382565</v>
      </c>
      <c r="G15" s="362">
        <f>SUM(G11:G13)</f>
        <v>0</v>
      </c>
      <c r="H15" s="360">
        <f>SUM(H11:H13)</f>
        <v>382565</v>
      </c>
      <c r="I15" s="363"/>
    </row>
    <row r="16" ht="12.75">
      <c r="I16" s="204"/>
    </row>
  </sheetData>
  <sheetProtection/>
  <mergeCells count="2">
    <mergeCell ref="K2:K3"/>
    <mergeCell ref="A4:F4"/>
  </mergeCells>
  <printOptions horizontalCentered="1"/>
  <pageMargins left="0.4724409448818898" right="0.5511811023622047" top="0.15748031496062992" bottom="0.15748031496062992" header="0.15748031496062992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64"/>
  <sheetViews>
    <sheetView zoomScalePageLayoutView="0" workbookViewId="0" topLeftCell="A1">
      <selection activeCell="B2" sqref="B2:L161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11.8515625" style="0" hidden="1" customWidth="1"/>
    <col min="10" max="11" width="25.140625" style="0" hidden="1" customWidth="1"/>
    <col min="12" max="12" width="25.140625" style="0" customWidth="1"/>
  </cols>
  <sheetData>
    <row r="2" spans="10:12" ht="18">
      <c r="J2" s="364">
        <v>2005</v>
      </c>
      <c r="K2" s="365">
        <v>2005</v>
      </c>
      <c r="L2" s="365" t="s">
        <v>340</v>
      </c>
    </row>
    <row r="4" spans="2:12" ht="15">
      <c r="B4" s="366" t="s">
        <v>341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2:12" ht="1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2:12" ht="15">
      <c r="B6" s="367" t="s">
        <v>342</v>
      </c>
      <c r="C6" s="367"/>
      <c r="D6" s="367"/>
      <c r="E6" s="367"/>
      <c r="F6" s="367"/>
      <c r="G6" s="368"/>
      <c r="H6" s="367"/>
      <c r="I6" s="367"/>
      <c r="J6" s="369">
        <v>1255722</v>
      </c>
      <c r="K6" s="369">
        <v>1255722</v>
      </c>
      <c r="L6" s="369">
        <v>2847179.73</v>
      </c>
    </row>
    <row r="7" spans="2:12" ht="15">
      <c r="B7" s="367" t="s">
        <v>343</v>
      </c>
      <c r="C7" s="367"/>
      <c r="D7" s="367"/>
      <c r="E7" s="367"/>
      <c r="F7" s="367"/>
      <c r="G7" s="367"/>
      <c r="H7" s="367"/>
      <c r="I7" s="367"/>
      <c r="J7" s="369"/>
      <c r="K7" s="369">
        <v>2850000</v>
      </c>
      <c r="L7" s="369">
        <v>800000</v>
      </c>
    </row>
    <row r="8" spans="2:12" ht="15">
      <c r="B8" s="367" t="s">
        <v>344</v>
      </c>
      <c r="C8" s="367"/>
      <c r="D8" s="367"/>
      <c r="E8" s="367"/>
      <c r="F8" s="370"/>
      <c r="G8" s="367"/>
      <c r="H8" s="367"/>
      <c r="I8" s="367"/>
      <c r="J8" s="371">
        <f>J9+J10</f>
        <v>624849</v>
      </c>
      <c r="K8" s="371">
        <f>K9+K10</f>
        <v>624849</v>
      </c>
      <c r="L8" s="371">
        <f>L9+L10</f>
        <v>557708.04</v>
      </c>
    </row>
    <row r="9" spans="2:12" ht="15">
      <c r="B9" s="367"/>
      <c r="C9" s="367"/>
      <c r="D9" s="367"/>
      <c r="E9" s="367"/>
      <c r="F9" s="372" t="s">
        <v>345</v>
      </c>
      <c r="G9" s="373" t="s">
        <v>346</v>
      </c>
      <c r="H9" s="367"/>
      <c r="I9" s="367"/>
      <c r="J9" s="369">
        <v>407625</v>
      </c>
      <c r="K9" s="369">
        <v>407625</v>
      </c>
      <c r="L9" s="369">
        <v>382564.04</v>
      </c>
    </row>
    <row r="10" spans="2:12" ht="15">
      <c r="B10" s="367"/>
      <c r="C10" s="367"/>
      <c r="D10" s="367"/>
      <c r="E10" s="367"/>
      <c r="F10" s="372" t="s">
        <v>347</v>
      </c>
      <c r="G10" s="373" t="s">
        <v>348</v>
      </c>
      <c r="H10" s="367"/>
      <c r="I10" s="367"/>
      <c r="J10" s="369">
        <v>217224</v>
      </c>
      <c r="K10" s="369">
        <v>217224</v>
      </c>
      <c r="L10" s="369">
        <v>175144</v>
      </c>
    </row>
    <row r="11" spans="2:12" ht="15">
      <c r="B11" s="367" t="s">
        <v>349</v>
      </c>
      <c r="C11" s="367"/>
      <c r="D11" s="367"/>
      <c r="E11" s="367"/>
      <c r="F11" s="367"/>
      <c r="G11" s="367"/>
      <c r="H11" s="367"/>
      <c r="I11" s="367"/>
      <c r="J11" s="369">
        <f>J6+J7-J9</f>
        <v>848097</v>
      </c>
      <c r="K11" s="369">
        <f>K6+K7-K9</f>
        <v>3698097</v>
      </c>
      <c r="L11" s="369">
        <f>L6+L7-L9</f>
        <v>3264615.69</v>
      </c>
    </row>
    <row r="12" spans="2:12" ht="15">
      <c r="B12" s="367" t="s">
        <v>350</v>
      </c>
      <c r="C12" s="367"/>
      <c r="D12" s="367"/>
      <c r="E12" s="367"/>
      <c r="F12" s="367"/>
      <c r="G12" s="367"/>
      <c r="H12" s="367"/>
      <c r="I12" s="367"/>
      <c r="J12" s="369">
        <v>13000000</v>
      </c>
      <c r="K12" s="369">
        <v>13500000</v>
      </c>
      <c r="L12" s="369">
        <v>17902606</v>
      </c>
    </row>
    <row r="13" spans="2:12" ht="15">
      <c r="B13" s="367" t="s">
        <v>351</v>
      </c>
      <c r="C13" s="367"/>
      <c r="D13" s="367"/>
      <c r="E13" s="367"/>
      <c r="F13" s="367"/>
      <c r="G13" s="367"/>
      <c r="H13" s="367"/>
      <c r="I13" s="367"/>
      <c r="J13" s="369"/>
      <c r="K13" s="369"/>
      <c r="L13" s="369"/>
    </row>
    <row r="14" spans="2:14" ht="15">
      <c r="B14" s="367" t="s">
        <v>352</v>
      </c>
      <c r="C14" s="367"/>
      <c r="D14" s="367"/>
      <c r="E14" s="367"/>
      <c r="F14" s="367"/>
      <c r="G14" s="367"/>
      <c r="H14" s="367"/>
      <c r="I14" s="367"/>
      <c r="J14" s="374">
        <f>J8/J12</f>
        <v>0.04806530769230769</v>
      </c>
      <c r="K14" s="374">
        <f>K8/K12</f>
        <v>0.04628511111111111</v>
      </c>
      <c r="L14" s="374">
        <f>L8/L12</f>
        <v>0.031152338380233582</v>
      </c>
      <c r="N14" s="375"/>
    </row>
    <row r="15" spans="2:12" ht="15">
      <c r="B15" s="367" t="s">
        <v>353</v>
      </c>
      <c r="C15" s="367"/>
      <c r="D15" s="367"/>
      <c r="E15" s="367"/>
      <c r="F15" s="367"/>
      <c r="G15" s="367"/>
      <c r="H15" s="367"/>
      <c r="I15" s="367"/>
      <c r="J15" s="369"/>
      <c r="K15" s="369"/>
      <c r="L15" s="369"/>
    </row>
    <row r="16" spans="2:12" ht="15">
      <c r="B16" s="367" t="s">
        <v>354</v>
      </c>
      <c r="C16" s="367"/>
      <c r="D16" s="367"/>
      <c r="E16" s="367"/>
      <c r="F16" s="367"/>
      <c r="G16" s="367"/>
      <c r="H16" s="367"/>
      <c r="I16" s="367"/>
      <c r="J16" s="374">
        <f>J11/J12</f>
        <v>0.06523823076923077</v>
      </c>
      <c r="K16" s="374">
        <f>K11/K12</f>
        <v>0.2739331111111111</v>
      </c>
      <c r="L16" s="374">
        <f>L11/L12</f>
        <v>0.18235421647552316</v>
      </c>
    </row>
    <row r="17" spans="2:12" ht="15">
      <c r="B17" s="367"/>
      <c r="C17" s="367"/>
      <c r="D17" s="367"/>
      <c r="E17" s="367"/>
      <c r="F17" s="367"/>
      <c r="G17" s="367"/>
      <c r="H17" s="367"/>
      <c r="I17" s="367"/>
      <c r="J17" s="369"/>
      <c r="K17" s="369"/>
      <c r="L17" s="369"/>
    </row>
    <row r="18" spans="2:12" ht="15">
      <c r="B18" s="366" t="s">
        <v>355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</row>
    <row r="19" spans="2:12" ht="15"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</row>
    <row r="20" spans="2:12" ht="15">
      <c r="B20" s="367" t="s">
        <v>356</v>
      </c>
      <c r="C20" s="367"/>
      <c r="D20" s="367"/>
      <c r="E20" s="367"/>
      <c r="F20" s="367"/>
      <c r="G20" s="367"/>
      <c r="H20" s="368"/>
      <c r="I20" s="367"/>
      <c r="J20" s="369">
        <f>J11</f>
        <v>848097</v>
      </c>
      <c r="K20" s="369">
        <f>K11</f>
        <v>3698097</v>
      </c>
      <c r="L20" s="369">
        <f>L11</f>
        <v>3264615.69</v>
      </c>
    </row>
    <row r="21" spans="2:12" ht="15">
      <c r="B21" s="367" t="s">
        <v>343</v>
      </c>
      <c r="C21" s="367"/>
      <c r="D21" s="367"/>
      <c r="E21" s="367"/>
      <c r="F21" s="367"/>
      <c r="G21" s="367"/>
      <c r="H21" s="367"/>
      <c r="I21" s="367"/>
      <c r="J21" s="369">
        <v>0</v>
      </c>
      <c r="K21" s="369">
        <v>0</v>
      </c>
      <c r="L21" s="369">
        <v>0</v>
      </c>
    </row>
    <row r="22" spans="2:12" ht="15">
      <c r="B22" s="367" t="s">
        <v>344</v>
      </c>
      <c r="C22" s="367"/>
      <c r="D22" s="367"/>
      <c r="E22" s="367"/>
      <c r="F22" s="367"/>
      <c r="G22" s="367"/>
      <c r="H22" s="367"/>
      <c r="I22" s="367"/>
      <c r="J22" s="371">
        <f>J23+J24</f>
        <v>274844</v>
      </c>
      <c r="K22" s="371">
        <f>K23+K24</f>
        <v>739844</v>
      </c>
      <c r="L22" s="371">
        <f>L23+L24</f>
        <v>649028.04</v>
      </c>
    </row>
    <row r="23" spans="2:12" ht="15">
      <c r="B23" s="367"/>
      <c r="C23" s="367"/>
      <c r="D23" s="367"/>
      <c r="E23" s="367"/>
      <c r="F23" s="372" t="s">
        <v>345</v>
      </c>
      <c r="G23" s="373" t="s">
        <v>346</v>
      </c>
      <c r="H23" s="367"/>
      <c r="I23" s="367"/>
      <c r="J23" s="369">
        <v>133790</v>
      </c>
      <c r="K23" s="369">
        <f>133790+310000</f>
        <v>443790</v>
      </c>
      <c r="L23" s="369">
        <f>382564.04+80000</f>
        <v>462564.04</v>
      </c>
    </row>
    <row r="24" spans="2:12" ht="15">
      <c r="B24" s="367"/>
      <c r="C24" s="367"/>
      <c r="D24" s="367"/>
      <c r="E24" s="367"/>
      <c r="F24" s="372" t="s">
        <v>347</v>
      </c>
      <c r="G24" s="373" t="s">
        <v>348</v>
      </c>
      <c r="H24" s="367"/>
      <c r="I24" s="367"/>
      <c r="J24" s="369">
        <v>141054</v>
      </c>
      <c r="K24" s="369">
        <f>141054+155000</f>
        <v>296054</v>
      </c>
      <c r="L24" s="369">
        <f>129464+57000</f>
        <v>186464</v>
      </c>
    </row>
    <row r="25" spans="2:12" ht="15">
      <c r="B25" s="367" t="s">
        <v>357</v>
      </c>
      <c r="C25" s="367"/>
      <c r="D25" s="367"/>
      <c r="E25" s="367"/>
      <c r="F25" s="367"/>
      <c r="G25" s="367"/>
      <c r="H25" s="367"/>
      <c r="I25" s="367"/>
      <c r="J25" s="369">
        <f>J20+J21-J23</f>
        <v>714307</v>
      </c>
      <c r="K25" s="369">
        <f>K20+K21-K23</f>
        <v>3254307</v>
      </c>
      <c r="L25" s="369">
        <f>L20+L21-L23</f>
        <v>2802051.65</v>
      </c>
    </row>
    <row r="26" spans="2:12" ht="15">
      <c r="B26" s="367" t="s">
        <v>358</v>
      </c>
      <c r="C26" s="367"/>
      <c r="D26" s="367"/>
      <c r="E26" s="367"/>
      <c r="F26" s="367"/>
      <c r="G26" s="367"/>
      <c r="H26" s="367"/>
      <c r="I26" s="367"/>
      <c r="J26" s="369">
        <v>13000000</v>
      </c>
      <c r="K26" s="369">
        <v>13500000</v>
      </c>
      <c r="L26" s="369">
        <v>16000000</v>
      </c>
    </row>
    <row r="27" spans="2:12" ht="15">
      <c r="B27" s="367" t="s">
        <v>351</v>
      </c>
      <c r="C27" s="367"/>
      <c r="D27" s="367"/>
      <c r="E27" s="367"/>
      <c r="F27" s="367"/>
      <c r="G27" s="367"/>
      <c r="H27" s="367"/>
      <c r="I27" s="367"/>
      <c r="J27" s="369"/>
      <c r="K27" s="369"/>
      <c r="L27" s="369"/>
    </row>
    <row r="28" spans="2:12" ht="15">
      <c r="B28" s="367" t="s">
        <v>359</v>
      </c>
      <c r="C28" s="367"/>
      <c r="D28" s="367"/>
      <c r="E28" s="367"/>
      <c r="F28" s="367"/>
      <c r="G28" s="367"/>
      <c r="H28" s="367"/>
      <c r="I28" s="367"/>
      <c r="J28" s="374">
        <f>J22/J26</f>
        <v>0.021141846153846153</v>
      </c>
      <c r="K28" s="374">
        <f>K22/K26</f>
        <v>0.05480325925925926</v>
      </c>
      <c r="L28" s="374">
        <f>L22/L26</f>
        <v>0.0405642525</v>
      </c>
    </row>
    <row r="29" spans="2:12" ht="15">
      <c r="B29" s="367" t="s">
        <v>353</v>
      </c>
      <c r="C29" s="367"/>
      <c r="D29" s="367"/>
      <c r="E29" s="367"/>
      <c r="F29" s="367"/>
      <c r="G29" s="367"/>
      <c r="H29" s="367"/>
      <c r="I29" s="367"/>
      <c r="J29" s="369"/>
      <c r="K29" s="369"/>
      <c r="L29" s="369"/>
    </row>
    <row r="30" spans="2:12" ht="15">
      <c r="B30" s="367" t="s">
        <v>354</v>
      </c>
      <c r="C30" s="367"/>
      <c r="D30" s="367"/>
      <c r="E30" s="367"/>
      <c r="F30" s="367"/>
      <c r="G30" s="367"/>
      <c r="H30" s="367"/>
      <c r="I30" s="367"/>
      <c r="J30" s="374">
        <f>J25/J26</f>
        <v>0.05494669230769231</v>
      </c>
      <c r="K30" s="374">
        <f>K25/K26</f>
        <v>0.2410597777777778</v>
      </c>
      <c r="L30" s="374">
        <f>L25/L26</f>
        <v>0.175128228125</v>
      </c>
    </row>
    <row r="31" spans="2:12" ht="15"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2" spans="2:12" ht="15">
      <c r="B32" s="366" t="s">
        <v>360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</row>
    <row r="33" spans="2:12" ht="15"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</row>
    <row r="34" spans="2:12" ht="15">
      <c r="B34" s="367" t="s">
        <v>356</v>
      </c>
      <c r="C34" s="367"/>
      <c r="D34" s="367"/>
      <c r="E34" s="367"/>
      <c r="F34" s="367"/>
      <c r="G34" s="367"/>
      <c r="H34" s="368"/>
      <c r="I34" s="367"/>
      <c r="J34" s="369">
        <f>J25</f>
        <v>714307</v>
      </c>
      <c r="K34" s="369">
        <f>K25</f>
        <v>3254307</v>
      </c>
      <c r="L34" s="369">
        <f>L25</f>
        <v>2802051.65</v>
      </c>
    </row>
    <row r="35" spans="2:12" ht="15">
      <c r="B35" s="367" t="s">
        <v>343</v>
      </c>
      <c r="C35" s="367"/>
      <c r="D35" s="367"/>
      <c r="E35" s="367"/>
      <c r="F35" s="367"/>
      <c r="G35" s="367"/>
      <c r="H35" s="367"/>
      <c r="I35" s="367"/>
      <c r="J35" s="369">
        <v>0</v>
      </c>
      <c r="K35" s="369">
        <v>0</v>
      </c>
      <c r="L35" s="369">
        <v>0</v>
      </c>
    </row>
    <row r="36" spans="2:12" ht="15">
      <c r="B36" s="367" t="s">
        <v>344</v>
      </c>
      <c r="C36" s="367"/>
      <c r="D36" s="367"/>
      <c r="E36" s="367"/>
      <c r="F36" s="367"/>
      <c r="G36" s="367"/>
      <c r="H36" s="367"/>
      <c r="I36" s="367"/>
      <c r="J36" s="371">
        <f>J37+J38</f>
        <v>236314</v>
      </c>
      <c r="K36" s="371">
        <f>K37+K38</f>
        <v>696314</v>
      </c>
      <c r="L36" s="371">
        <f>L37+L38</f>
        <v>613655.04</v>
      </c>
    </row>
    <row r="37" spans="2:12" ht="15">
      <c r="B37" s="367"/>
      <c r="C37" s="367"/>
      <c r="D37" s="367"/>
      <c r="E37" s="367"/>
      <c r="F37" s="372" t="s">
        <v>345</v>
      </c>
      <c r="G37" s="373" t="s">
        <v>346</v>
      </c>
      <c r="H37" s="367"/>
      <c r="I37" s="367"/>
      <c r="J37" s="369">
        <v>102565</v>
      </c>
      <c r="K37" s="369">
        <f>102565+310000</f>
        <v>412565</v>
      </c>
      <c r="L37" s="369">
        <f>382564.04+80000</f>
        <v>462564.04</v>
      </c>
    </row>
    <row r="38" spans="2:12" ht="15">
      <c r="B38" s="367"/>
      <c r="C38" s="367"/>
      <c r="D38" s="367"/>
      <c r="E38" s="367"/>
      <c r="F38" s="372" t="s">
        <v>347</v>
      </c>
      <c r="G38" s="373" t="s">
        <v>348</v>
      </c>
      <c r="H38" s="367"/>
      <c r="I38" s="367"/>
      <c r="J38" s="369">
        <v>133749</v>
      </c>
      <c r="K38" s="369">
        <f>133749+150000</f>
        <v>283749</v>
      </c>
      <c r="L38" s="369">
        <f>111091+40000</f>
        <v>151091</v>
      </c>
    </row>
    <row r="39" spans="2:12" ht="15">
      <c r="B39" s="367" t="s">
        <v>361</v>
      </c>
      <c r="C39" s="367"/>
      <c r="D39" s="367"/>
      <c r="E39" s="367"/>
      <c r="F39" s="367"/>
      <c r="G39" s="367"/>
      <c r="H39" s="367"/>
      <c r="I39" s="367"/>
      <c r="J39" s="369">
        <f>J34+J35-J37</f>
        <v>611742</v>
      </c>
      <c r="K39" s="369">
        <f>K34+K35-K37</f>
        <v>2841742</v>
      </c>
      <c r="L39" s="369">
        <f>L34+L35-L37</f>
        <v>2339487.61</v>
      </c>
    </row>
    <row r="40" spans="2:12" ht="15">
      <c r="B40" s="367" t="s">
        <v>362</v>
      </c>
      <c r="C40" s="367"/>
      <c r="D40" s="367"/>
      <c r="E40" s="367"/>
      <c r="F40" s="367"/>
      <c r="G40" s="367"/>
      <c r="H40" s="367"/>
      <c r="I40" s="367"/>
      <c r="J40" s="369">
        <v>13000000</v>
      </c>
      <c r="K40" s="369">
        <v>13500000</v>
      </c>
      <c r="L40" s="369">
        <v>16000000</v>
      </c>
    </row>
    <row r="41" spans="2:12" ht="15">
      <c r="B41" s="367" t="s">
        <v>351</v>
      </c>
      <c r="C41" s="367"/>
      <c r="D41" s="367"/>
      <c r="E41" s="367"/>
      <c r="F41" s="367"/>
      <c r="G41" s="367"/>
      <c r="H41" s="367"/>
      <c r="I41" s="367"/>
      <c r="J41" s="369"/>
      <c r="K41" s="369"/>
      <c r="L41" s="369"/>
    </row>
    <row r="42" spans="2:12" ht="15">
      <c r="B42" s="367" t="s">
        <v>363</v>
      </c>
      <c r="C42" s="367"/>
      <c r="D42" s="367"/>
      <c r="E42" s="367"/>
      <c r="F42" s="367"/>
      <c r="G42" s="367"/>
      <c r="H42" s="367"/>
      <c r="I42" s="367"/>
      <c r="J42" s="374">
        <f>J36/J40</f>
        <v>0.018178</v>
      </c>
      <c r="K42" s="374">
        <f>K36/K40</f>
        <v>0.05157881481481481</v>
      </c>
      <c r="L42" s="374">
        <f>L36/L40</f>
        <v>0.03835344</v>
      </c>
    </row>
    <row r="43" spans="2:12" ht="15">
      <c r="B43" s="367" t="s">
        <v>353</v>
      </c>
      <c r="C43" s="367"/>
      <c r="D43" s="367"/>
      <c r="E43" s="367"/>
      <c r="F43" s="367"/>
      <c r="G43" s="367"/>
      <c r="H43" s="367"/>
      <c r="I43" s="367"/>
      <c r="J43" s="369"/>
      <c r="K43" s="369"/>
      <c r="L43" s="369"/>
    </row>
    <row r="44" spans="2:12" ht="15">
      <c r="B44" s="367" t="s">
        <v>354</v>
      </c>
      <c r="C44" s="367"/>
      <c r="D44" s="367"/>
      <c r="E44" s="367"/>
      <c r="F44" s="367"/>
      <c r="G44" s="367"/>
      <c r="H44" s="367"/>
      <c r="I44" s="367"/>
      <c r="J44" s="374">
        <f>J39/J40</f>
        <v>0.047057076923076924</v>
      </c>
      <c r="K44" s="374">
        <f>K39/K40</f>
        <v>0.2104994074074074</v>
      </c>
      <c r="L44" s="374">
        <f>L39/L40</f>
        <v>0.146217975625</v>
      </c>
    </row>
    <row r="45" spans="2:12" ht="15"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</row>
    <row r="46" spans="2:12" ht="15">
      <c r="B46" s="366" t="s">
        <v>364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</row>
    <row r="47" spans="2:12" ht="15"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</row>
    <row r="48" spans="2:12" ht="15">
      <c r="B48" s="367" t="s">
        <v>356</v>
      </c>
      <c r="C48" s="367"/>
      <c r="D48" s="367"/>
      <c r="E48" s="367"/>
      <c r="F48" s="367"/>
      <c r="G48" s="367"/>
      <c r="H48" s="368"/>
      <c r="I48" s="367"/>
      <c r="J48" s="369">
        <f>J39</f>
        <v>611742</v>
      </c>
      <c r="K48" s="369">
        <f>K39</f>
        <v>2841742</v>
      </c>
      <c r="L48" s="369">
        <f>L39</f>
        <v>2339487.61</v>
      </c>
    </row>
    <row r="49" spans="2:12" ht="15">
      <c r="B49" s="367" t="s">
        <v>343</v>
      </c>
      <c r="C49" s="367"/>
      <c r="D49" s="367"/>
      <c r="E49" s="367"/>
      <c r="F49" s="367"/>
      <c r="G49" s="367"/>
      <c r="H49" s="367"/>
      <c r="I49" s="367"/>
      <c r="J49" s="369">
        <v>0</v>
      </c>
      <c r="K49" s="369">
        <v>0</v>
      </c>
      <c r="L49" s="369">
        <v>0</v>
      </c>
    </row>
    <row r="50" spans="2:12" ht="15">
      <c r="B50" s="367" t="s">
        <v>344</v>
      </c>
      <c r="C50" s="367"/>
      <c r="D50" s="367"/>
      <c r="E50" s="367"/>
      <c r="F50" s="367"/>
      <c r="G50" s="367"/>
      <c r="H50" s="367"/>
      <c r="I50" s="367"/>
      <c r="J50" s="371">
        <f>J51+J52</f>
        <v>230108</v>
      </c>
      <c r="K50" s="371">
        <f>K51+K52</f>
        <v>685108</v>
      </c>
      <c r="L50" s="371">
        <f>L51+L52</f>
        <v>597381.04</v>
      </c>
    </row>
    <row r="51" spans="2:12" ht="15">
      <c r="B51" s="367"/>
      <c r="C51" s="367"/>
      <c r="D51" s="367"/>
      <c r="E51" s="367"/>
      <c r="F51" s="372" t="s">
        <v>345</v>
      </c>
      <c r="G51" s="373" t="s">
        <v>346</v>
      </c>
      <c r="H51" s="367"/>
      <c r="I51" s="367"/>
      <c r="J51" s="369">
        <v>102564</v>
      </c>
      <c r="K51" s="369">
        <f>102564+310000</f>
        <v>412564</v>
      </c>
      <c r="L51" s="369">
        <f>382564.04+80000</f>
        <v>462564.04</v>
      </c>
    </row>
    <row r="52" spans="2:12" ht="15">
      <c r="B52" s="367"/>
      <c r="C52" s="367"/>
      <c r="D52" s="367"/>
      <c r="E52" s="367"/>
      <c r="F52" s="372" t="s">
        <v>347</v>
      </c>
      <c r="G52" s="373" t="s">
        <v>348</v>
      </c>
      <c r="H52" s="367"/>
      <c r="I52" s="367"/>
      <c r="J52" s="369">
        <v>127544</v>
      </c>
      <c r="K52" s="369">
        <f>127544+145000</f>
        <v>272544</v>
      </c>
      <c r="L52" s="369">
        <f>94817+40000</f>
        <v>134817</v>
      </c>
    </row>
    <row r="53" spans="2:12" ht="15">
      <c r="B53" s="367" t="s">
        <v>365</v>
      </c>
      <c r="C53" s="367"/>
      <c r="D53" s="367"/>
      <c r="E53" s="367"/>
      <c r="F53" s="367"/>
      <c r="G53" s="367"/>
      <c r="H53" s="367"/>
      <c r="I53" s="367"/>
      <c r="J53" s="369">
        <f>J48+J49-J51</f>
        <v>509178</v>
      </c>
      <c r="K53" s="369">
        <f>K48+K49-K51</f>
        <v>2429178</v>
      </c>
      <c r="L53" s="369">
        <f>L48+L49-L51</f>
        <v>1876923.5699999998</v>
      </c>
    </row>
    <row r="54" spans="2:12" ht="15">
      <c r="B54" s="367" t="s">
        <v>366</v>
      </c>
      <c r="C54" s="367"/>
      <c r="D54" s="367"/>
      <c r="E54" s="367"/>
      <c r="F54" s="367"/>
      <c r="G54" s="367"/>
      <c r="H54" s="367"/>
      <c r="I54" s="367"/>
      <c r="J54" s="369">
        <v>13000000</v>
      </c>
      <c r="K54" s="369">
        <v>13500000</v>
      </c>
      <c r="L54" s="369">
        <v>16000000</v>
      </c>
    </row>
    <row r="55" spans="2:12" ht="15">
      <c r="B55" s="367" t="s">
        <v>351</v>
      </c>
      <c r="C55" s="367"/>
      <c r="D55" s="367"/>
      <c r="E55" s="367"/>
      <c r="F55" s="367"/>
      <c r="G55" s="367"/>
      <c r="H55" s="367"/>
      <c r="I55" s="367"/>
      <c r="J55" s="369"/>
      <c r="K55" s="369"/>
      <c r="L55" s="369"/>
    </row>
    <row r="56" spans="2:12" ht="15">
      <c r="B56" s="367" t="s">
        <v>367</v>
      </c>
      <c r="C56" s="367"/>
      <c r="D56" s="367"/>
      <c r="E56" s="367"/>
      <c r="F56" s="367"/>
      <c r="G56" s="367"/>
      <c r="H56" s="367"/>
      <c r="I56" s="367"/>
      <c r="J56" s="374">
        <f>J50/J54</f>
        <v>0.017700615384615384</v>
      </c>
      <c r="K56" s="374">
        <f>K50/K54</f>
        <v>0.05074874074074074</v>
      </c>
      <c r="L56" s="374">
        <f>L50/L54</f>
        <v>0.037336315</v>
      </c>
    </row>
    <row r="57" spans="2:12" ht="15">
      <c r="B57" s="367" t="s">
        <v>353</v>
      </c>
      <c r="C57" s="367"/>
      <c r="D57" s="367"/>
      <c r="E57" s="367"/>
      <c r="F57" s="367"/>
      <c r="G57" s="367"/>
      <c r="H57" s="367"/>
      <c r="I57" s="367"/>
      <c r="J57" s="369"/>
      <c r="K57" s="369"/>
      <c r="L57" s="369"/>
    </row>
    <row r="58" spans="2:12" ht="15">
      <c r="B58" s="367" t="s">
        <v>354</v>
      </c>
      <c r="C58" s="367"/>
      <c r="D58" s="367"/>
      <c r="E58" s="367"/>
      <c r="F58" s="367"/>
      <c r="G58" s="367"/>
      <c r="H58" s="367"/>
      <c r="I58" s="367"/>
      <c r="J58" s="374">
        <f>J53/J54</f>
        <v>0.03916753846153846</v>
      </c>
      <c r="K58" s="374">
        <f>K53/K54</f>
        <v>0.1799391111111111</v>
      </c>
      <c r="L58" s="374">
        <f>L53/L54</f>
        <v>0.11730772312499999</v>
      </c>
    </row>
    <row r="59" spans="2:12" ht="15"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</row>
    <row r="60" spans="2:12" ht="15">
      <c r="B60" s="366" t="s">
        <v>368</v>
      </c>
      <c r="C60" s="367"/>
      <c r="D60" s="367"/>
      <c r="E60" s="367"/>
      <c r="F60" s="367"/>
      <c r="G60" s="367"/>
      <c r="H60" s="367"/>
      <c r="I60" s="367"/>
      <c r="J60" s="367"/>
      <c r="K60" s="367"/>
      <c r="L60" s="367"/>
    </row>
    <row r="61" spans="2:12" ht="15"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</row>
    <row r="62" spans="2:12" ht="15">
      <c r="B62" s="367" t="s">
        <v>356</v>
      </c>
      <c r="C62" s="367"/>
      <c r="D62" s="367"/>
      <c r="E62" s="367"/>
      <c r="F62" s="367"/>
      <c r="G62" s="367"/>
      <c r="H62" s="368"/>
      <c r="I62" s="367"/>
      <c r="J62" s="369">
        <f>J53</f>
        <v>509178</v>
      </c>
      <c r="K62" s="369">
        <f>K53</f>
        <v>2429178</v>
      </c>
      <c r="L62" s="369">
        <f>L53</f>
        <v>1876923.5699999998</v>
      </c>
    </row>
    <row r="63" spans="2:12" ht="15">
      <c r="B63" s="367" t="s">
        <v>343</v>
      </c>
      <c r="C63" s="367"/>
      <c r="D63" s="367"/>
      <c r="E63" s="367"/>
      <c r="F63" s="367"/>
      <c r="G63" s="367"/>
      <c r="H63" s="367"/>
      <c r="I63" s="367"/>
      <c r="J63" s="369">
        <v>0</v>
      </c>
      <c r="K63" s="369">
        <v>0</v>
      </c>
      <c r="L63" s="369">
        <v>0</v>
      </c>
    </row>
    <row r="64" spans="2:12" ht="15">
      <c r="B64" s="367" t="s">
        <v>344</v>
      </c>
      <c r="C64" s="367"/>
      <c r="D64" s="367"/>
      <c r="E64" s="367"/>
      <c r="F64" s="367"/>
      <c r="G64" s="367"/>
      <c r="H64" s="367"/>
      <c r="I64" s="367"/>
      <c r="J64" s="371">
        <f>J65+J66</f>
        <v>223904</v>
      </c>
      <c r="K64" s="371">
        <f>K65+K66</f>
        <v>673904</v>
      </c>
      <c r="L64" s="371">
        <f>L65+L66</f>
        <v>528858.3</v>
      </c>
    </row>
    <row r="65" spans="2:12" ht="15">
      <c r="B65" s="367"/>
      <c r="C65" s="367"/>
      <c r="D65" s="367"/>
      <c r="E65" s="367"/>
      <c r="F65" s="372" t="s">
        <v>345</v>
      </c>
      <c r="G65" s="373" t="s">
        <v>346</v>
      </c>
      <c r="H65" s="367"/>
      <c r="I65" s="367"/>
      <c r="J65" s="369">
        <v>102565</v>
      </c>
      <c r="K65" s="369">
        <f>102565+310000</f>
        <v>412565</v>
      </c>
      <c r="L65" s="369">
        <f>302564.04+80000</f>
        <v>382564.04</v>
      </c>
    </row>
    <row r="66" spans="2:12" ht="15">
      <c r="B66" s="367"/>
      <c r="C66" s="367"/>
      <c r="D66" s="367"/>
      <c r="E66" s="367"/>
      <c r="F66" s="372" t="s">
        <v>347</v>
      </c>
      <c r="G66" s="373" t="s">
        <v>348</v>
      </c>
      <c r="H66" s="367"/>
      <c r="I66" s="367"/>
      <c r="J66" s="369">
        <v>121339</v>
      </c>
      <c r="K66" s="369">
        <f>121339+140000</f>
        <v>261339</v>
      </c>
      <c r="L66" s="369">
        <f>106294.26+40000</f>
        <v>146294.26</v>
      </c>
    </row>
    <row r="67" spans="2:12" ht="15">
      <c r="B67" s="367" t="s">
        <v>369</v>
      </c>
      <c r="C67" s="367"/>
      <c r="D67" s="367"/>
      <c r="E67" s="367"/>
      <c r="F67" s="367"/>
      <c r="G67" s="367"/>
      <c r="H67" s="367"/>
      <c r="I67" s="367"/>
      <c r="J67" s="369">
        <f>J62+J63-J65</f>
        <v>406613</v>
      </c>
      <c r="K67" s="369">
        <f>K62+K63-K65</f>
        <v>2016613</v>
      </c>
      <c r="L67" s="369">
        <f>L62+L63-L65</f>
        <v>1494359.5299999998</v>
      </c>
    </row>
    <row r="68" spans="2:12" ht="15">
      <c r="B68" s="367" t="s">
        <v>370</v>
      </c>
      <c r="C68" s="367"/>
      <c r="D68" s="367"/>
      <c r="E68" s="367"/>
      <c r="F68" s="367"/>
      <c r="G68" s="367"/>
      <c r="H68" s="367"/>
      <c r="I68" s="367"/>
      <c r="J68" s="369">
        <v>13000000</v>
      </c>
      <c r="K68" s="369">
        <v>13500000</v>
      </c>
      <c r="L68" s="369">
        <v>16000000</v>
      </c>
    </row>
    <row r="69" spans="2:12" ht="15">
      <c r="B69" s="367" t="s">
        <v>351</v>
      </c>
      <c r="C69" s="367"/>
      <c r="D69" s="367"/>
      <c r="E69" s="367"/>
      <c r="F69" s="367"/>
      <c r="G69" s="367"/>
      <c r="H69" s="367"/>
      <c r="I69" s="367"/>
      <c r="J69" s="369"/>
      <c r="K69" s="369"/>
      <c r="L69" s="369"/>
    </row>
    <row r="70" spans="2:12" ht="15">
      <c r="B70" s="367" t="s">
        <v>371</v>
      </c>
      <c r="C70" s="367"/>
      <c r="D70" s="367"/>
      <c r="E70" s="367"/>
      <c r="F70" s="367"/>
      <c r="G70" s="367"/>
      <c r="H70" s="367"/>
      <c r="I70" s="367"/>
      <c r="J70" s="374">
        <f>J64/J68</f>
        <v>0.017223384615384616</v>
      </c>
      <c r="K70" s="374">
        <f>K64/K68</f>
        <v>0.04991881481481481</v>
      </c>
      <c r="L70" s="374">
        <f>L64/L68</f>
        <v>0.03305364375</v>
      </c>
    </row>
    <row r="71" spans="2:12" ht="15">
      <c r="B71" s="367" t="s">
        <v>353</v>
      </c>
      <c r="C71" s="367"/>
      <c r="D71" s="367"/>
      <c r="E71" s="367"/>
      <c r="F71" s="367"/>
      <c r="G71" s="367"/>
      <c r="H71" s="367"/>
      <c r="I71" s="367"/>
      <c r="J71" s="369"/>
      <c r="K71" s="369"/>
      <c r="L71" s="369"/>
    </row>
    <row r="72" spans="2:12" ht="15">
      <c r="B72" s="367" t="s">
        <v>354</v>
      </c>
      <c r="C72" s="367"/>
      <c r="D72" s="367"/>
      <c r="E72" s="367"/>
      <c r="F72" s="367"/>
      <c r="G72" s="367"/>
      <c r="H72" s="367"/>
      <c r="I72" s="367"/>
      <c r="J72" s="374">
        <f>J67/J68</f>
        <v>0.03127792307692308</v>
      </c>
      <c r="K72" s="374">
        <f>K67/K68</f>
        <v>0.14937874074074073</v>
      </c>
      <c r="L72" s="374">
        <f>L67/L68</f>
        <v>0.09339747062499999</v>
      </c>
    </row>
    <row r="73" spans="2:12" ht="15"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</row>
    <row r="74" spans="2:12" ht="15">
      <c r="B74" s="366" t="s">
        <v>372</v>
      </c>
      <c r="C74" s="367"/>
      <c r="D74" s="367"/>
      <c r="E74" s="367"/>
      <c r="F74" s="367"/>
      <c r="G74" s="367"/>
      <c r="H74" s="367"/>
      <c r="I74" s="367"/>
      <c r="J74" s="367"/>
      <c r="K74" s="367"/>
      <c r="L74" s="367"/>
    </row>
    <row r="75" spans="2:12" ht="15"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</row>
    <row r="76" spans="2:12" ht="15">
      <c r="B76" s="367" t="s">
        <v>356</v>
      </c>
      <c r="C76" s="367"/>
      <c r="D76" s="367"/>
      <c r="E76" s="367"/>
      <c r="F76" s="367"/>
      <c r="G76" s="367"/>
      <c r="H76" s="368"/>
      <c r="I76" s="367"/>
      <c r="J76" s="369">
        <f>J67</f>
        <v>406613</v>
      </c>
      <c r="K76" s="369">
        <f>K67</f>
        <v>2016613</v>
      </c>
      <c r="L76" s="369">
        <f>L67</f>
        <v>1494359.5299999998</v>
      </c>
    </row>
    <row r="77" spans="2:12" ht="15">
      <c r="B77" s="367" t="s">
        <v>343</v>
      </c>
      <c r="C77" s="367"/>
      <c r="D77" s="367"/>
      <c r="E77" s="367"/>
      <c r="F77" s="367"/>
      <c r="G77" s="367"/>
      <c r="H77" s="367"/>
      <c r="I77" s="367"/>
      <c r="J77" s="369">
        <v>0</v>
      </c>
      <c r="K77" s="369">
        <v>0</v>
      </c>
      <c r="L77" s="369">
        <v>0</v>
      </c>
    </row>
    <row r="78" spans="2:12" ht="15">
      <c r="B78" s="367" t="s">
        <v>344</v>
      </c>
      <c r="C78" s="367"/>
      <c r="D78" s="367"/>
      <c r="E78" s="367"/>
      <c r="F78" s="367"/>
      <c r="G78" s="367"/>
      <c r="H78" s="367"/>
      <c r="I78" s="367"/>
      <c r="J78" s="371">
        <f>J79+J80</f>
        <v>217699</v>
      </c>
      <c r="K78" s="371">
        <f>K79+K80</f>
        <v>627699</v>
      </c>
      <c r="L78" s="371">
        <f>L79+L80</f>
        <v>460274.01</v>
      </c>
    </row>
    <row r="79" spans="2:12" ht="15">
      <c r="B79" s="367"/>
      <c r="C79" s="367"/>
      <c r="D79" s="367"/>
      <c r="E79" s="367"/>
      <c r="F79" s="372" t="s">
        <v>345</v>
      </c>
      <c r="G79" s="373" t="s">
        <v>346</v>
      </c>
      <c r="H79" s="367"/>
      <c r="I79" s="367"/>
      <c r="J79" s="369">
        <v>102565</v>
      </c>
      <c r="K79" s="369">
        <f>102565+310000</f>
        <v>412565</v>
      </c>
      <c r="L79" s="369">
        <f>276923.01+80000</f>
        <v>356923.01</v>
      </c>
    </row>
    <row r="80" spans="2:12" ht="15">
      <c r="B80" s="367"/>
      <c r="C80" s="367"/>
      <c r="D80" s="367"/>
      <c r="E80" s="367"/>
      <c r="F80" s="372" t="s">
        <v>347</v>
      </c>
      <c r="G80" s="373" t="s">
        <v>348</v>
      </c>
      <c r="H80" s="367"/>
      <c r="I80" s="367"/>
      <c r="J80" s="369">
        <v>115134</v>
      </c>
      <c r="K80" s="369">
        <f>115134+100000</f>
        <v>215134</v>
      </c>
      <c r="L80" s="369">
        <f>63351+40000</f>
        <v>103351</v>
      </c>
    </row>
    <row r="81" spans="2:12" ht="15">
      <c r="B81" s="367" t="s">
        <v>373</v>
      </c>
      <c r="C81" s="367"/>
      <c r="D81" s="367"/>
      <c r="E81" s="367"/>
      <c r="F81" s="367"/>
      <c r="G81" s="367"/>
      <c r="H81" s="367"/>
      <c r="I81" s="367"/>
      <c r="J81" s="369">
        <f>J76+J77-J79</f>
        <v>304048</v>
      </c>
      <c r="K81" s="369">
        <f>K76+K77-K79</f>
        <v>1604048</v>
      </c>
      <c r="L81" s="369">
        <f>L76+L77-L79</f>
        <v>1137436.5199999998</v>
      </c>
    </row>
    <row r="82" spans="2:12" ht="15">
      <c r="B82" s="367" t="s">
        <v>374</v>
      </c>
      <c r="C82" s="367"/>
      <c r="D82" s="367"/>
      <c r="E82" s="367"/>
      <c r="F82" s="367"/>
      <c r="G82" s="367"/>
      <c r="H82" s="367"/>
      <c r="I82" s="367"/>
      <c r="J82" s="369">
        <v>13000000</v>
      </c>
      <c r="K82" s="369">
        <v>13500000</v>
      </c>
      <c r="L82" s="369">
        <v>16000000</v>
      </c>
    </row>
    <row r="83" spans="2:12" ht="15">
      <c r="B83" s="367" t="s">
        <v>351</v>
      </c>
      <c r="C83" s="367"/>
      <c r="D83" s="367"/>
      <c r="E83" s="367"/>
      <c r="F83" s="367"/>
      <c r="G83" s="367"/>
      <c r="H83" s="367"/>
      <c r="I83" s="367"/>
      <c r="J83" s="369"/>
      <c r="K83" s="369"/>
      <c r="L83" s="369"/>
    </row>
    <row r="84" spans="2:12" ht="15">
      <c r="B84" s="367" t="s">
        <v>375</v>
      </c>
      <c r="C84" s="367"/>
      <c r="D84" s="367"/>
      <c r="E84" s="367"/>
      <c r="F84" s="367"/>
      <c r="G84" s="367"/>
      <c r="H84" s="367"/>
      <c r="I84" s="367"/>
      <c r="J84" s="374">
        <f>J78/J82</f>
        <v>0.016746076923076923</v>
      </c>
      <c r="K84" s="374">
        <f>K78/K82</f>
        <v>0.046496222222222224</v>
      </c>
      <c r="L84" s="374">
        <f>L78/L82</f>
        <v>0.028767125625</v>
      </c>
    </row>
    <row r="85" spans="2:12" ht="15">
      <c r="B85" s="367" t="s">
        <v>353</v>
      </c>
      <c r="C85" s="367"/>
      <c r="D85" s="367"/>
      <c r="E85" s="367"/>
      <c r="F85" s="367"/>
      <c r="G85" s="367"/>
      <c r="H85" s="367"/>
      <c r="I85" s="367"/>
      <c r="J85" s="369"/>
      <c r="K85" s="369"/>
      <c r="L85" s="369"/>
    </row>
    <row r="86" spans="2:12" ht="15">
      <c r="B86" s="367" t="s">
        <v>354</v>
      </c>
      <c r="C86" s="367"/>
      <c r="D86" s="367"/>
      <c r="E86" s="367"/>
      <c r="F86" s="367"/>
      <c r="G86" s="367"/>
      <c r="H86" s="367"/>
      <c r="I86" s="367"/>
      <c r="J86" s="374">
        <f>J81/J82</f>
        <v>0.02338830769230769</v>
      </c>
      <c r="K86" s="374">
        <f>K81/K82</f>
        <v>0.11881837037037037</v>
      </c>
      <c r="L86" s="374">
        <f>L81/L82</f>
        <v>0.07108978249999999</v>
      </c>
    </row>
    <row r="87" spans="2:12" ht="15"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</row>
    <row r="88" spans="2:12" ht="15">
      <c r="B88" s="366" t="s">
        <v>376</v>
      </c>
      <c r="C88" s="367"/>
      <c r="D88" s="367"/>
      <c r="E88" s="367"/>
      <c r="F88" s="367"/>
      <c r="G88" s="367"/>
      <c r="H88" s="367"/>
      <c r="I88" s="367"/>
      <c r="J88" s="367"/>
      <c r="K88" s="367"/>
      <c r="L88" s="367"/>
    </row>
    <row r="89" spans="2:12" ht="15"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</row>
    <row r="90" spans="2:12" ht="15">
      <c r="B90" s="367" t="s">
        <v>356</v>
      </c>
      <c r="C90" s="367"/>
      <c r="D90" s="367"/>
      <c r="E90" s="367"/>
      <c r="F90" s="367"/>
      <c r="G90" s="367"/>
      <c r="H90" s="368"/>
      <c r="I90" s="367"/>
      <c r="J90" s="369">
        <f>J81</f>
        <v>304048</v>
      </c>
      <c r="K90" s="369">
        <f>K81</f>
        <v>1604048</v>
      </c>
      <c r="L90" s="369">
        <f>L81</f>
        <v>1137436.5199999998</v>
      </c>
    </row>
    <row r="91" spans="2:12" ht="15">
      <c r="B91" s="367" t="s">
        <v>343</v>
      </c>
      <c r="C91" s="367"/>
      <c r="D91" s="367"/>
      <c r="E91" s="367"/>
      <c r="F91" s="367"/>
      <c r="G91" s="367"/>
      <c r="H91" s="367"/>
      <c r="I91" s="367"/>
      <c r="J91" s="369">
        <v>0</v>
      </c>
      <c r="K91" s="369">
        <v>0</v>
      </c>
      <c r="L91" s="369">
        <v>0</v>
      </c>
    </row>
    <row r="92" spans="2:12" ht="15">
      <c r="B92" s="367" t="s">
        <v>344</v>
      </c>
      <c r="C92" s="367"/>
      <c r="D92" s="367"/>
      <c r="E92" s="367"/>
      <c r="F92" s="367"/>
      <c r="G92" s="367"/>
      <c r="H92" s="367"/>
      <c r="I92" s="367"/>
      <c r="J92" s="371">
        <f>J93+J94</f>
        <v>211494</v>
      </c>
      <c r="K92" s="371">
        <f>K93+K94</f>
        <v>611494</v>
      </c>
      <c r="L92" s="371">
        <f>L93+L94</f>
        <v>353834.92000000004</v>
      </c>
    </row>
    <row r="93" spans="2:12" ht="15">
      <c r="B93" s="367"/>
      <c r="C93" s="367"/>
      <c r="D93" s="367"/>
      <c r="E93" s="367"/>
      <c r="F93" s="372" t="s">
        <v>345</v>
      </c>
      <c r="G93" s="373" t="s">
        <v>346</v>
      </c>
      <c r="H93" s="367"/>
      <c r="I93" s="367"/>
      <c r="J93" s="369">
        <v>102565</v>
      </c>
      <c r="K93" s="369">
        <f>102565+310000</f>
        <v>412565</v>
      </c>
      <c r="L93" s="369">
        <f>199999.92+80000</f>
        <v>279999.92000000004</v>
      </c>
    </row>
    <row r="94" spans="2:12" ht="15">
      <c r="B94" s="367"/>
      <c r="C94" s="367"/>
      <c r="D94" s="367"/>
      <c r="E94" s="367"/>
      <c r="F94" s="372" t="s">
        <v>347</v>
      </c>
      <c r="G94" s="373" t="s">
        <v>348</v>
      </c>
      <c r="H94" s="367"/>
      <c r="I94" s="367"/>
      <c r="J94" s="369">
        <v>108929</v>
      </c>
      <c r="K94" s="369">
        <f>108929+90000</f>
        <v>198929</v>
      </c>
      <c r="L94" s="369">
        <v>73835</v>
      </c>
    </row>
    <row r="95" spans="2:12" ht="15">
      <c r="B95" s="367" t="s">
        <v>377</v>
      </c>
      <c r="C95" s="367"/>
      <c r="D95" s="367"/>
      <c r="E95" s="367"/>
      <c r="F95" s="367"/>
      <c r="G95" s="367"/>
      <c r="H95" s="367"/>
      <c r="I95" s="367"/>
      <c r="J95" s="369">
        <f>J90+J91-J93</f>
        <v>201483</v>
      </c>
      <c r="K95" s="369">
        <f>K90+K91-K93</f>
        <v>1191483</v>
      </c>
      <c r="L95" s="369">
        <f>L90+L91-L93</f>
        <v>857436.5999999997</v>
      </c>
    </row>
    <row r="96" spans="2:12" ht="15">
      <c r="B96" s="367" t="s">
        <v>378</v>
      </c>
      <c r="C96" s="367"/>
      <c r="D96" s="367"/>
      <c r="E96" s="367"/>
      <c r="F96" s="367"/>
      <c r="G96" s="367"/>
      <c r="H96" s="367"/>
      <c r="I96" s="367"/>
      <c r="J96" s="369">
        <v>13000000</v>
      </c>
      <c r="K96" s="369">
        <v>13500000</v>
      </c>
      <c r="L96" s="369">
        <v>16000000</v>
      </c>
    </row>
    <row r="97" spans="2:12" ht="15">
      <c r="B97" s="367" t="s">
        <v>351</v>
      </c>
      <c r="C97" s="367"/>
      <c r="D97" s="367"/>
      <c r="E97" s="367"/>
      <c r="F97" s="367"/>
      <c r="G97" s="367"/>
      <c r="H97" s="367"/>
      <c r="I97" s="367"/>
      <c r="J97" s="369"/>
      <c r="K97" s="369"/>
      <c r="L97" s="369"/>
    </row>
    <row r="98" spans="2:12" ht="15">
      <c r="B98" s="367" t="s">
        <v>379</v>
      </c>
      <c r="C98" s="367"/>
      <c r="D98" s="367"/>
      <c r="E98" s="367"/>
      <c r="F98" s="367"/>
      <c r="G98" s="367"/>
      <c r="H98" s="367"/>
      <c r="I98" s="367"/>
      <c r="J98" s="374">
        <f>J92/J96</f>
        <v>0.016268769230769232</v>
      </c>
      <c r="K98" s="374">
        <f>K92/K96</f>
        <v>0.04529585185185185</v>
      </c>
      <c r="L98" s="374">
        <f>L92/L96</f>
        <v>0.022114682500000003</v>
      </c>
    </row>
    <row r="99" spans="2:12" ht="15">
      <c r="B99" s="367" t="s">
        <v>353</v>
      </c>
      <c r="C99" s="367"/>
      <c r="D99" s="367"/>
      <c r="E99" s="367"/>
      <c r="F99" s="367"/>
      <c r="G99" s="367"/>
      <c r="H99" s="367"/>
      <c r="I99" s="367"/>
      <c r="J99" s="369"/>
      <c r="K99" s="369"/>
      <c r="L99" s="369"/>
    </row>
    <row r="100" spans="2:12" ht="15">
      <c r="B100" s="367" t="s">
        <v>354</v>
      </c>
      <c r="C100" s="367"/>
      <c r="D100" s="367"/>
      <c r="E100" s="367"/>
      <c r="F100" s="367"/>
      <c r="G100" s="367"/>
      <c r="H100" s="367"/>
      <c r="I100" s="367"/>
      <c r="J100" s="374">
        <f>J95/J96</f>
        <v>0.015498692307692307</v>
      </c>
      <c r="K100" s="374">
        <f>K95/K96</f>
        <v>0.088258</v>
      </c>
      <c r="L100" s="374">
        <f>L95/L96</f>
        <v>0.053589787499999986</v>
      </c>
    </row>
    <row r="101" spans="2:12" ht="15"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</row>
    <row r="102" spans="2:12" ht="15">
      <c r="B102" s="366" t="s">
        <v>380</v>
      </c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</row>
    <row r="103" spans="2:12" ht="15"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</row>
    <row r="104" spans="2:12" ht="15">
      <c r="B104" s="367" t="s">
        <v>356</v>
      </c>
      <c r="C104" s="367"/>
      <c r="D104" s="367"/>
      <c r="E104" s="367"/>
      <c r="F104" s="367"/>
      <c r="G104" s="367"/>
      <c r="H104" s="368"/>
      <c r="I104" s="367"/>
      <c r="J104" s="369">
        <f>J95</f>
        <v>201483</v>
      </c>
      <c r="K104" s="369">
        <f>K95</f>
        <v>1191483</v>
      </c>
      <c r="L104" s="369">
        <f>L95</f>
        <v>857436.5999999997</v>
      </c>
    </row>
    <row r="105" spans="2:12" ht="15">
      <c r="B105" s="367" t="s">
        <v>343</v>
      </c>
      <c r="C105" s="367"/>
      <c r="D105" s="367"/>
      <c r="E105" s="367"/>
      <c r="F105" s="367"/>
      <c r="G105" s="367"/>
      <c r="H105" s="367"/>
      <c r="I105" s="367"/>
      <c r="J105" s="369">
        <v>0</v>
      </c>
      <c r="K105" s="369">
        <v>0</v>
      </c>
      <c r="L105" s="369">
        <v>0</v>
      </c>
    </row>
    <row r="106" spans="2:12" ht="15">
      <c r="B106" s="367" t="s">
        <v>344</v>
      </c>
      <c r="C106" s="367"/>
      <c r="D106" s="367"/>
      <c r="E106" s="367"/>
      <c r="F106" s="367"/>
      <c r="G106" s="367"/>
      <c r="H106" s="367"/>
      <c r="I106" s="367"/>
      <c r="J106" s="371">
        <f>J107+J108</f>
        <v>179413</v>
      </c>
      <c r="K106" s="371">
        <f>K107+K108</f>
        <v>559413</v>
      </c>
      <c r="L106" s="371">
        <f>L107+L108</f>
        <v>331546.92000000004</v>
      </c>
    </row>
    <row r="107" spans="2:12" ht="15">
      <c r="B107" s="367"/>
      <c r="C107" s="367"/>
      <c r="D107" s="367"/>
      <c r="E107" s="367"/>
      <c r="F107" s="372" t="s">
        <v>345</v>
      </c>
      <c r="G107" s="373" t="s">
        <v>346</v>
      </c>
      <c r="H107" s="367"/>
      <c r="I107" s="367"/>
      <c r="J107" s="369">
        <v>76918</v>
      </c>
      <c r="K107" s="369">
        <f>76918+310000</f>
        <v>386918</v>
      </c>
      <c r="L107" s="369">
        <f>199999.92+80000</f>
        <v>279999.92000000004</v>
      </c>
    </row>
    <row r="108" spans="2:12" ht="15">
      <c r="B108" s="367"/>
      <c r="C108" s="367"/>
      <c r="D108" s="367"/>
      <c r="E108" s="367"/>
      <c r="F108" s="372" t="s">
        <v>347</v>
      </c>
      <c r="G108" s="373" t="s">
        <v>348</v>
      </c>
      <c r="H108" s="367"/>
      <c r="I108" s="367"/>
      <c r="J108" s="369">
        <v>102495</v>
      </c>
      <c r="K108" s="369">
        <f>102495+70000</f>
        <v>172495</v>
      </c>
      <c r="L108" s="369">
        <v>51547</v>
      </c>
    </row>
    <row r="109" spans="2:12" ht="15">
      <c r="B109" s="367" t="s">
        <v>381</v>
      </c>
      <c r="C109" s="367"/>
      <c r="D109" s="367"/>
      <c r="E109" s="367"/>
      <c r="F109" s="367"/>
      <c r="G109" s="367"/>
      <c r="H109" s="367"/>
      <c r="I109" s="367"/>
      <c r="J109" s="369">
        <f>J104+J105-J107</f>
        <v>124565</v>
      </c>
      <c r="K109" s="369">
        <f>K104+K105-K107</f>
        <v>804565</v>
      </c>
      <c r="L109" s="369">
        <f>L104+L105-L107</f>
        <v>577436.6799999997</v>
      </c>
    </row>
    <row r="110" spans="2:12" ht="15">
      <c r="B110" s="367" t="s">
        <v>382</v>
      </c>
      <c r="C110" s="367"/>
      <c r="D110" s="367"/>
      <c r="E110" s="367"/>
      <c r="F110" s="367"/>
      <c r="G110" s="367"/>
      <c r="H110" s="367"/>
      <c r="I110" s="367"/>
      <c r="J110" s="369">
        <v>13000000</v>
      </c>
      <c r="K110" s="369">
        <v>13500000</v>
      </c>
      <c r="L110" s="369">
        <v>16000000</v>
      </c>
    </row>
    <row r="111" spans="2:12" ht="15">
      <c r="B111" s="367" t="s">
        <v>351</v>
      </c>
      <c r="C111" s="367"/>
      <c r="D111" s="367"/>
      <c r="E111" s="367"/>
      <c r="F111" s="367"/>
      <c r="G111" s="367"/>
      <c r="H111" s="367"/>
      <c r="I111" s="367"/>
      <c r="J111" s="369"/>
      <c r="K111" s="369"/>
      <c r="L111" s="369"/>
    </row>
    <row r="112" spans="2:12" ht="15">
      <c r="B112" s="367" t="s">
        <v>383</v>
      </c>
      <c r="C112" s="367"/>
      <c r="D112" s="367"/>
      <c r="E112" s="367"/>
      <c r="F112" s="367"/>
      <c r="G112" s="367"/>
      <c r="H112" s="367"/>
      <c r="I112" s="367"/>
      <c r="J112" s="374">
        <f>J106/J110</f>
        <v>0.013801</v>
      </c>
      <c r="K112" s="374">
        <f>K106/K110</f>
        <v>0.041438</v>
      </c>
      <c r="L112" s="374">
        <f>L106/L110</f>
        <v>0.0207216825</v>
      </c>
    </row>
    <row r="113" spans="2:12" ht="15">
      <c r="B113" s="367" t="s">
        <v>353</v>
      </c>
      <c r="C113" s="367"/>
      <c r="D113" s="367"/>
      <c r="E113" s="367"/>
      <c r="F113" s="367"/>
      <c r="G113" s="367"/>
      <c r="H113" s="367"/>
      <c r="I113" s="367"/>
      <c r="J113" s="369"/>
      <c r="K113" s="369"/>
      <c r="L113" s="369"/>
    </row>
    <row r="114" spans="2:12" ht="15">
      <c r="B114" s="367" t="s">
        <v>354</v>
      </c>
      <c r="C114" s="367"/>
      <c r="D114" s="367"/>
      <c r="E114" s="367"/>
      <c r="F114" s="367"/>
      <c r="G114" s="367"/>
      <c r="H114" s="367"/>
      <c r="I114" s="367"/>
      <c r="J114" s="374">
        <f>J109/J110</f>
        <v>0.009581923076923076</v>
      </c>
      <c r="K114" s="374">
        <f>K109/K110</f>
        <v>0.059597407407407405</v>
      </c>
      <c r="L114" s="374">
        <f>L109/L110</f>
        <v>0.03608979249999998</v>
      </c>
    </row>
    <row r="115" spans="2:12" ht="15"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</row>
    <row r="116" spans="2:12" ht="15">
      <c r="B116" s="366" t="s">
        <v>384</v>
      </c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</row>
    <row r="117" spans="2:12" ht="15"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</row>
    <row r="118" spans="2:12" ht="15">
      <c r="B118" s="367" t="s">
        <v>356</v>
      </c>
      <c r="C118" s="367"/>
      <c r="D118" s="367"/>
      <c r="E118" s="367"/>
      <c r="F118" s="367"/>
      <c r="G118" s="367"/>
      <c r="H118" s="368"/>
      <c r="I118" s="367"/>
      <c r="J118" s="369">
        <f>J109</f>
        <v>124565</v>
      </c>
      <c r="K118" s="369">
        <f>K109</f>
        <v>804565</v>
      </c>
      <c r="L118" s="369">
        <f>L109</f>
        <v>577436.6799999997</v>
      </c>
    </row>
    <row r="119" spans="2:12" ht="15">
      <c r="B119" s="367" t="s">
        <v>343</v>
      </c>
      <c r="C119" s="367"/>
      <c r="D119" s="367"/>
      <c r="E119" s="367"/>
      <c r="F119" s="367"/>
      <c r="G119" s="367"/>
      <c r="H119" s="367"/>
      <c r="I119" s="367"/>
      <c r="J119" s="369">
        <v>0</v>
      </c>
      <c r="K119" s="369">
        <v>0</v>
      </c>
      <c r="L119" s="369">
        <v>0</v>
      </c>
    </row>
    <row r="120" spans="2:12" ht="15">
      <c r="B120" s="367" t="s">
        <v>344</v>
      </c>
      <c r="C120" s="367"/>
      <c r="D120" s="367"/>
      <c r="E120" s="367"/>
      <c r="F120" s="367"/>
      <c r="G120" s="367"/>
      <c r="H120" s="367"/>
      <c r="I120" s="367"/>
      <c r="J120" s="371">
        <f>J121+J122</f>
        <v>100000</v>
      </c>
      <c r="K120" s="371">
        <f>K121+K122</f>
        <v>345000</v>
      </c>
      <c r="L120" s="371">
        <f>L121+L122</f>
        <v>232850.92</v>
      </c>
    </row>
    <row r="121" spans="2:12" ht="15">
      <c r="B121" s="367"/>
      <c r="C121" s="367"/>
      <c r="D121" s="367"/>
      <c r="E121" s="367"/>
      <c r="F121" s="372" t="s">
        <v>345</v>
      </c>
      <c r="G121" s="373" t="s">
        <v>346</v>
      </c>
      <c r="H121" s="367"/>
      <c r="I121" s="367"/>
      <c r="J121" s="369"/>
      <c r="K121" s="369">
        <v>310000</v>
      </c>
      <c r="L121" s="369">
        <f>199999.92</f>
        <v>199999.92</v>
      </c>
    </row>
    <row r="122" spans="2:12" ht="15">
      <c r="B122" s="367"/>
      <c r="C122" s="367"/>
      <c r="D122" s="367"/>
      <c r="E122" s="367"/>
      <c r="F122" s="372" t="s">
        <v>347</v>
      </c>
      <c r="G122" s="373" t="s">
        <v>348</v>
      </c>
      <c r="H122" s="367"/>
      <c r="I122" s="367"/>
      <c r="J122" s="369">
        <v>100000</v>
      </c>
      <c r="K122" s="369">
        <v>35000</v>
      </c>
      <c r="L122" s="369">
        <v>32851</v>
      </c>
    </row>
    <row r="123" spans="2:12" ht="15">
      <c r="B123" s="367" t="s">
        <v>385</v>
      </c>
      <c r="C123" s="367"/>
      <c r="D123" s="367"/>
      <c r="E123" s="367"/>
      <c r="F123" s="367"/>
      <c r="G123" s="367"/>
      <c r="H123" s="367"/>
      <c r="I123" s="367"/>
      <c r="J123" s="369">
        <f>J118+J119-J121</f>
        <v>124565</v>
      </c>
      <c r="K123" s="369">
        <f>K118+K119-K121</f>
        <v>494565</v>
      </c>
      <c r="L123" s="369">
        <f>L118+L119-L121</f>
        <v>377436.75999999966</v>
      </c>
    </row>
    <row r="124" spans="2:12" ht="15">
      <c r="B124" s="367" t="s">
        <v>386</v>
      </c>
      <c r="C124" s="367"/>
      <c r="D124" s="367"/>
      <c r="E124" s="367"/>
      <c r="F124" s="367"/>
      <c r="G124" s="367"/>
      <c r="H124" s="367"/>
      <c r="I124" s="367"/>
      <c r="J124" s="369">
        <v>13000000</v>
      </c>
      <c r="K124" s="369">
        <v>13500000</v>
      </c>
      <c r="L124" s="369">
        <v>16000000</v>
      </c>
    </row>
    <row r="125" spans="2:12" ht="15">
      <c r="B125" s="367" t="s">
        <v>351</v>
      </c>
      <c r="C125" s="367"/>
      <c r="D125" s="367"/>
      <c r="E125" s="367"/>
      <c r="F125" s="367"/>
      <c r="G125" s="367"/>
      <c r="H125" s="367"/>
      <c r="I125" s="367"/>
      <c r="J125" s="369"/>
      <c r="K125" s="369"/>
      <c r="L125" s="369"/>
    </row>
    <row r="126" spans="2:12" ht="15">
      <c r="B126" s="367" t="s">
        <v>387</v>
      </c>
      <c r="C126" s="367"/>
      <c r="D126" s="367"/>
      <c r="E126" s="367"/>
      <c r="F126" s="367"/>
      <c r="G126" s="367"/>
      <c r="H126" s="367"/>
      <c r="I126" s="367"/>
      <c r="J126" s="374">
        <f>J120/J124</f>
        <v>0.007692307692307693</v>
      </c>
      <c r="K126" s="374">
        <f>K120/K124</f>
        <v>0.025555555555555557</v>
      </c>
      <c r="L126" s="374">
        <f>L120/L124</f>
        <v>0.014553182500000001</v>
      </c>
    </row>
    <row r="127" spans="2:12" ht="15">
      <c r="B127" s="367" t="s">
        <v>353</v>
      </c>
      <c r="C127" s="367"/>
      <c r="D127" s="367"/>
      <c r="E127" s="367"/>
      <c r="F127" s="367"/>
      <c r="G127" s="367"/>
      <c r="H127" s="367"/>
      <c r="I127" s="367"/>
      <c r="J127" s="369"/>
      <c r="K127" s="369"/>
      <c r="L127" s="369"/>
    </row>
    <row r="128" spans="2:12" ht="15">
      <c r="B128" s="367" t="s">
        <v>354</v>
      </c>
      <c r="C128" s="367"/>
      <c r="D128" s="367"/>
      <c r="E128" s="367"/>
      <c r="F128" s="367"/>
      <c r="G128" s="367"/>
      <c r="H128" s="367"/>
      <c r="I128" s="367"/>
      <c r="J128" s="374">
        <f>J123/J124</f>
        <v>0.009581923076923076</v>
      </c>
      <c r="K128" s="374">
        <f>K123/K124</f>
        <v>0.03663444444444444</v>
      </c>
      <c r="L128" s="374">
        <f>L123/L124</f>
        <v>0.023589797499999978</v>
      </c>
    </row>
    <row r="129" spans="2:12" ht="15">
      <c r="B129" s="367"/>
      <c r="C129" s="367"/>
      <c r="D129" s="367"/>
      <c r="E129" s="367"/>
      <c r="F129" s="367"/>
      <c r="G129" s="367"/>
      <c r="H129" s="367"/>
      <c r="I129" s="367"/>
      <c r="J129" s="374"/>
      <c r="K129" s="374"/>
      <c r="L129" s="374"/>
    </row>
    <row r="130" spans="2:12" ht="15">
      <c r="B130" s="366" t="s">
        <v>388</v>
      </c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</row>
    <row r="131" spans="2:12" ht="15">
      <c r="B131" s="367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</row>
    <row r="132" spans="2:12" ht="15">
      <c r="B132" s="367" t="s">
        <v>356</v>
      </c>
      <c r="C132" s="367"/>
      <c r="D132" s="367"/>
      <c r="E132" s="367"/>
      <c r="F132" s="367"/>
      <c r="G132" s="367"/>
      <c r="H132" s="368"/>
      <c r="I132" s="367"/>
      <c r="J132" s="369">
        <f>J123</f>
        <v>124565</v>
      </c>
      <c r="K132" s="369">
        <f>K123</f>
        <v>494565</v>
      </c>
      <c r="L132" s="369">
        <f>L123</f>
        <v>377436.75999999966</v>
      </c>
    </row>
    <row r="133" spans="2:12" ht="15">
      <c r="B133" s="367" t="s">
        <v>343</v>
      </c>
      <c r="C133" s="367"/>
      <c r="D133" s="367"/>
      <c r="E133" s="367"/>
      <c r="F133" s="367"/>
      <c r="G133" s="367"/>
      <c r="H133" s="367"/>
      <c r="I133" s="367"/>
      <c r="J133" s="369">
        <v>0</v>
      </c>
      <c r="K133" s="369">
        <v>0</v>
      </c>
      <c r="L133" s="369">
        <v>0</v>
      </c>
    </row>
    <row r="134" spans="2:12" ht="15">
      <c r="B134" s="367" t="s">
        <v>344</v>
      </c>
      <c r="C134" s="367"/>
      <c r="D134" s="367"/>
      <c r="E134" s="367"/>
      <c r="F134" s="367"/>
      <c r="G134" s="367"/>
      <c r="H134" s="367"/>
      <c r="I134" s="367"/>
      <c r="J134" s="371">
        <f>J135+J136</f>
        <v>100000</v>
      </c>
      <c r="K134" s="371">
        <f>K135+K136</f>
        <v>80000</v>
      </c>
      <c r="L134" s="371">
        <f>L135+L136</f>
        <v>221973.92</v>
      </c>
    </row>
    <row r="135" spans="2:12" ht="15">
      <c r="B135" s="367"/>
      <c r="C135" s="367"/>
      <c r="D135" s="367"/>
      <c r="E135" s="367"/>
      <c r="F135" s="372" t="s">
        <v>345</v>
      </c>
      <c r="G135" s="373" t="s">
        <v>346</v>
      </c>
      <c r="H135" s="367"/>
      <c r="I135" s="367"/>
      <c r="J135" s="369"/>
      <c r="K135" s="369">
        <v>60000</v>
      </c>
      <c r="L135" s="369">
        <f>199999.92</f>
        <v>199999.92</v>
      </c>
    </row>
    <row r="136" spans="2:12" ht="15">
      <c r="B136" s="367"/>
      <c r="C136" s="367"/>
      <c r="D136" s="367"/>
      <c r="E136" s="367"/>
      <c r="F136" s="372" t="s">
        <v>347</v>
      </c>
      <c r="G136" s="373" t="s">
        <v>348</v>
      </c>
      <c r="H136" s="367"/>
      <c r="I136" s="367"/>
      <c r="J136" s="369">
        <v>100000</v>
      </c>
      <c r="K136" s="369">
        <v>20000</v>
      </c>
      <c r="L136" s="369">
        <v>21974</v>
      </c>
    </row>
    <row r="137" spans="2:12" ht="15">
      <c r="B137" s="367" t="s">
        <v>389</v>
      </c>
      <c r="C137" s="367"/>
      <c r="D137" s="367"/>
      <c r="E137" s="367"/>
      <c r="F137" s="367"/>
      <c r="G137" s="367"/>
      <c r="H137" s="367"/>
      <c r="I137" s="367"/>
      <c r="J137" s="369">
        <f>J132+J133-J135</f>
        <v>124565</v>
      </c>
      <c r="K137" s="369">
        <f>K132+K133-K135</f>
        <v>434565</v>
      </c>
      <c r="L137" s="369">
        <f>L132+L133-L135</f>
        <v>177436.83999999965</v>
      </c>
    </row>
    <row r="138" spans="2:12" ht="15">
      <c r="B138" s="367" t="s">
        <v>390</v>
      </c>
      <c r="C138" s="367"/>
      <c r="D138" s="367"/>
      <c r="E138" s="367"/>
      <c r="F138" s="367"/>
      <c r="G138" s="367"/>
      <c r="H138" s="367"/>
      <c r="I138" s="367"/>
      <c r="J138" s="369">
        <v>13000000</v>
      </c>
      <c r="K138" s="369">
        <v>13500000</v>
      </c>
      <c r="L138" s="369">
        <v>16000000</v>
      </c>
    </row>
    <row r="139" spans="2:12" ht="15">
      <c r="B139" s="367" t="s">
        <v>351</v>
      </c>
      <c r="C139" s="367"/>
      <c r="D139" s="367"/>
      <c r="E139" s="367"/>
      <c r="F139" s="367"/>
      <c r="G139" s="367"/>
      <c r="H139" s="367"/>
      <c r="I139" s="367"/>
      <c r="J139" s="369"/>
      <c r="K139" s="369"/>
      <c r="L139" s="369"/>
    </row>
    <row r="140" spans="2:12" ht="15">
      <c r="B140" s="367" t="s">
        <v>391</v>
      </c>
      <c r="C140" s="367"/>
      <c r="D140" s="367"/>
      <c r="E140" s="367"/>
      <c r="F140" s="367"/>
      <c r="G140" s="367"/>
      <c r="H140" s="367"/>
      <c r="I140" s="367"/>
      <c r="J140" s="374">
        <f>J134/J138</f>
        <v>0.007692307692307693</v>
      </c>
      <c r="K140" s="374">
        <f>K134/K138</f>
        <v>0.005925925925925926</v>
      </c>
      <c r="L140" s="374">
        <f>L134/L138</f>
        <v>0.013873370000000001</v>
      </c>
    </row>
    <row r="141" spans="2:12" ht="15">
      <c r="B141" s="367" t="s">
        <v>353</v>
      </c>
      <c r="C141" s="367"/>
      <c r="D141" s="367"/>
      <c r="E141" s="367"/>
      <c r="F141" s="367"/>
      <c r="G141" s="367"/>
      <c r="H141" s="367"/>
      <c r="I141" s="367"/>
      <c r="J141" s="369"/>
      <c r="K141" s="369"/>
      <c r="L141" s="369"/>
    </row>
    <row r="142" spans="2:12" ht="15">
      <c r="B142" s="367" t="s">
        <v>354</v>
      </c>
      <c r="C142" s="367"/>
      <c r="D142" s="367"/>
      <c r="E142" s="367"/>
      <c r="F142" s="367"/>
      <c r="G142" s="367"/>
      <c r="H142" s="367"/>
      <c r="I142" s="367"/>
      <c r="J142" s="374">
        <f>J137/J138</f>
        <v>0.009581923076923076</v>
      </c>
      <c r="K142" s="374">
        <f>K137/K138</f>
        <v>0.03219</v>
      </c>
      <c r="L142" s="374">
        <f>L137/L138</f>
        <v>0.011089802499999978</v>
      </c>
    </row>
    <row r="143" spans="2:12" ht="15">
      <c r="B143" s="367"/>
      <c r="C143" s="367"/>
      <c r="D143" s="367"/>
      <c r="E143" s="367"/>
      <c r="F143" s="367"/>
      <c r="G143" s="367"/>
      <c r="H143" s="367"/>
      <c r="I143" s="367"/>
      <c r="J143" s="374"/>
      <c r="K143" s="374"/>
      <c r="L143" s="374"/>
    </row>
    <row r="144" spans="2:12" ht="15">
      <c r="B144" s="366" t="s">
        <v>392</v>
      </c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</row>
    <row r="145" spans="2:12" ht="15">
      <c r="B145" s="367"/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</row>
    <row r="146" spans="2:12" ht="15">
      <c r="B146" s="367" t="s">
        <v>356</v>
      </c>
      <c r="C146" s="367"/>
      <c r="D146" s="367"/>
      <c r="E146" s="367"/>
      <c r="F146" s="367"/>
      <c r="G146" s="367"/>
      <c r="H146" s="368"/>
      <c r="I146" s="367"/>
      <c r="J146" s="369">
        <f>J137</f>
        <v>124565</v>
      </c>
      <c r="K146" s="369">
        <f>K137</f>
        <v>434565</v>
      </c>
      <c r="L146" s="369">
        <f>L137</f>
        <v>177436.83999999965</v>
      </c>
    </row>
    <row r="147" spans="2:12" ht="15">
      <c r="B147" s="367" t="s">
        <v>343</v>
      </c>
      <c r="C147" s="367"/>
      <c r="D147" s="367"/>
      <c r="E147" s="367"/>
      <c r="F147" s="367"/>
      <c r="G147" s="367"/>
      <c r="H147" s="367"/>
      <c r="I147" s="367"/>
      <c r="J147" s="369">
        <v>0</v>
      </c>
      <c r="K147" s="369">
        <v>0</v>
      </c>
      <c r="L147" s="369">
        <v>0</v>
      </c>
    </row>
    <row r="148" spans="2:12" ht="15">
      <c r="B148" s="367" t="s">
        <v>344</v>
      </c>
      <c r="C148" s="367"/>
      <c r="D148" s="367"/>
      <c r="E148" s="367"/>
      <c r="F148" s="367"/>
      <c r="G148" s="367"/>
      <c r="H148" s="367"/>
      <c r="I148" s="367"/>
      <c r="J148" s="371">
        <f>J149+J150</f>
        <v>100000</v>
      </c>
      <c r="K148" s="371">
        <f>K149+K150</f>
        <v>80000</v>
      </c>
      <c r="L148" s="371">
        <f>L149+L150</f>
        <v>193403.84</v>
      </c>
    </row>
    <row r="149" spans="2:12" ht="15">
      <c r="B149" s="367"/>
      <c r="C149" s="367"/>
      <c r="D149" s="367"/>
      <c r="E149" s="367"/>
      <c r="F149" s="372" t="s">
        <v>345</v>
      </c>
      <c r="G149" s="373" t="s">
        <v>346</v>
      </c>
      <c r="H149" s="367"/>
      <c r="I149" s="367"/>
      <c r="J149" s="369"/>
      <c r="K149" s="369">
        <v>60000</v>
      </c>
      <c r="L149" s="369">
        <v>177436.84</v>
      </c>
    </row>
    <row r="150" spans="2:12" ht="15">
      <c r="B150" s="367"/>
      <c r="C150" s="367"/>
      <c r="D150" s="367"/>
      <c r="E150" s="367"/>
      <c r="F150" s="372" t="s">
        <v>347</v>
      </c>
      <c r="G150" s="373" t="s">
        <v>348</v>
      </c>
      <c r="H150" s="367"/>
      <c r="I150" s="367"/>
      <c r="J150" s="369">
        <v>100000</v>
      </c>
      <c r="K150" s="369">
        <v>20000</v>
      </c>
      <c r="L150" s="369">
        <v>15967</v>
      </c>
    </row>
    <row r="151" spans="2:12" ht="15">
      <c r="B151" s="367" t="s">
        <v>393</v>
      </c>
      <c r="C151" s="367"/>
      <c r="D151" s="367"/>
      <c r="E151" s="367"/>
      <c r="F151" s="367"/>
      <c r="G151" s="367"/>
      <c r="H151" s="367"/>
      <c r="I151" s="367"/>
      <c r="J151" s="369">
        <f>J146+J147-J149</f>
        <v>124565</v>
      </c>
      <c r="K151" s="369">
        <f>K146+K147-K149</f>
        <v>374565</v>
      </c>
      <c r="L151" s="369">
        <f>L146+L147-L149</f>
        <v>-3.4924596548080444E-10</v>
      </c>
    </row>
    <row r="152" spans="2:12" ht="15">
      <c r="B152" s="367" t="s">
        <v>394</v>
      </c>
      <c r="C152" s="367"/>
      <c r="D152" s="367"/>
      <c r="E152" s="367"/>
      <c r="F152" s="367"/>
      <c r="G152" s="367"/>
      <c r="H152" s="367"/>
      <c r="I152" s="367"/>
      <c r="J152" s="369">
        <v>13000000</v>
      </c>
      <c r="K152" s="369">
        <v>13500000</v>
      </c>
      <c r="L152" s="369">
        <v>16000000</v>
      </c>
    </row>
    <row r="153" spans="2:12" ht="15">
      <c r="B153" s="367" t="s">
        <v>351</v>
      </c>
      <c r="C153" s="367"/>
      <c r="D153" s="367"/>
      <c r="E153" s="367"/>
      <c r="F153" s="367"/>
      <c r="G153" s="367"/>
      <c r="H153" s="367"/>
      <c r="I153" s="367"/>
      <c r="J153" s="369"/>
      <c r="K153" s="369"/>
      <c r="L153" s="369"/>
    </row>
    <row r="154" spans="2:12" ht="15">
      <c r="B154" s="367" t="s">
        <v>395</v>
      </c>
      <c r="C154" s="367"/>
      <c r="D154" s="367"/>
      <c r="E154" s="367"/>
      <c r="F154" s="367"/>
      <c r="G154" s="367"/>
      <c r="H154" s="367"/>
      <c r="I154" s="367"/>
      <c r="J154" s="374">
        <f>J148/J152</f>
        <v>0.007692307692307693</v>
      </c>
      <c r="K154" s="374">
        <f>K148/K152</f>
        <v>0.005925925925925926</v>
      </c>
      <c r="L154" s="374">
        <f>L148/L152</f>
        <v>0.01208774</v>
      </c>
    </row>
    <row r="155" spans="2:12" ht="15">
      <c r="B155" s="367" t="s">
        <v>353</v>
      </c>
      <c r="C155" s="367"/>
      <c r="D155" s="367"/>
      <c r="E155" s="367"/>
      <c r="F155" s="367"/>
      <c r="G155" s="367"/>
      <c r="H155" s="367"/>
      <c r="I155" s="367"/>
      <c r="J155" s="369"/>
      <c r="K155" s="369"/>
      <c r="L155" s="369"/>
    </row>
    <row r="156" spans="2:12" ht="15">
      <c r="B156" s="367" t="s">
        <v>354</v>
      </c>
      <c r="C156" s="367"/>
      <c r="D156" s="367"/>
      <c r="E156" s="367"/>
      <c r="F156" s="367"/>
      <c r="G156" s="367"/>
      <c r="H156" s="367"/>
      <c r="I156" s="367"/>
      <c r="J156" s="374">
        <f>J151/J152</f>
        <v>0.009581923076923076</v>
      </c>
      <c r="K156" s="374">
        <f>K151/K152</f>
        <v>0.027745555555555555</v>
      </c>
      <c r="L156" s="374">
        <f>L151/L152</f>
        <v>-2.1827872842550278E-17</v>
      </c>
    </row>
    <row r="157" spans="2:12" ht="15">
      <c r="B157" s="367"/>
      <c r="C157" s="367"/>
      <c r="D157" s="367"/>
      <c r="E157" s="367"/>
      <c r="F157" s="367"/>
      <c r="G157" s="367"/>
      <c r="H157" s="367"/>
      <c r="I157" s="367"/>
      <c r="J157" s="374"/>
      <c r="K157" s="374"/>
      <c r="L157" s="374"/>
    </row>
    <row r="158" spans="2:12" ht="15"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</row>
    <row r="159" spans="2:12" ht="15">
      <c r="B159" s="366" t="s">
        <v>396</v>
      </c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</row>
    <row r="160" spans="2:12" ht="15">
      <c r="B160" s="366" t="s">
        <v>397</v>
      </c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</row>
    <row r="161" spans="2:12" ht="15">
      <c r="B161" s="367"/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</row>
    <row r="162" spans="2:12" ht="15">
      <c r="B162" s="367"/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</row>
    <row r="163" spans="2:12" ht="15">
      <c r="B163" s="367"/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</row>
    <row r="164" spans="2:12" ht="15">
      <c r="B164" s="367"/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28"/>
  <sheetViews>
    <sheetView zoomScalePageLayoutView="0" workbookViewId="0" topLeftCell="A1">
      <selection activeCell="B1" sqref="B1:I114"/>
    </sheetView>
  </sheetViews>
  <sheetFormatPr defaultColWidth="9.140625" defaultRowHeight="12.75"/>
  <cols>
    <col min="1" max="1" width="2.28125" style="46" customWidth="1"/>
    <col min="2" max="2" width="5.28125" style="46" customWidth="1"/>
    <col min="3" max="3" width="6.421875" style="46" customWidth="1"/>
    <col min="4" max="4" width="4.8515625" style="46" customWidth="1"/>
    <col min="5" max="5" width="22.7109375" style="46" customWidth="1"/>
    <col min="6" max="6" width="19.421875" style="46" customWidth="1"/>
    <col min="7" max="7" width="16.140625" style="98" customWidth="1"/>
    <col min="8" max="8" width="20.140625" style="46" customWidth="1"/>
    <col min="9" max="9" width="44.00390625" style="99" customWidth="1"/>
    <col min="10" max="16384" width="9.140625" style="46" customWidth="1"/>
  </cols>
  <sheetData>
    <row r="1" spans="2:10" ht="24.75" customHeight="1">
      <c r="B1" s="43" t="s">
        <v>398</v>
      </c>
      <c r="C1" s="44"/>
      <c r="D1" s="45"/>
      <c r="F1" s="47"/>
      <c r="G1" s="48"/>
      <c r="H1" s="47"/>
      <c r="I1" s="204" t="s">
        <v>399</v>
      </c>
      <c r="J1" s="204"/>
    </row>
    <row r="2" spans="2:10" ht="6" customHeight="1">
      <c r="B2" s="43"/>
      <c r="C2" s="44"/>
      <c r="D2" s="45"/>
      <c r="F2" s="47"/>
      <c r="G2" s="48"/>
      <c r="H2" s="47"/>
      <c r="I2" s="204"/>
      <c r="J2" s="204"/>
    </row>
    <row r="3" spans="2:9" s="49" customFormat="1" ht="15.75" customHeight="1">
      <c r="B3" s="492" t="s">
        <v>15</v>
      </c>
      <c r="C3" s="492" t="s">
        <v>36</v>
      </c>
      <c r="D3" s="492" t="s">
        <v>17</v>
      </c>
      <c r="E3" s="492" t="s">
        <v>18</v>
      </c>
      <c r="F3" s="492" t="s">
        <v>400</v>
      </c>
      <c r="G3" s="496" t="s">
        <v>19</v>
      </c>
      <c r="H3" s="492" t="s">
        <v>218</v>
      </c>
      <c r="I3" s="493"/>
    </row>
    <row r="4" spans="2:9" s="50" customFormat="1" ht="23.25" customHeight="1">
      <c r="B4" s="492"/>
      <c r="C4" s="492"/>
      <c r="D4" s="492"/>
      <c r="E4" s="492"/>
      <c r="F4" s="492"/>
      <c r="G4" s="496"/>
      <c r="H4" s="492"/>
      <c r="I4" s="494"/>
    </row>
    <row r="5" spans="2:9" ht="12.75">
      <c r="B5" s="51"/>
      <c r="C5" s="51"/>
      <c r="D5" s="51"/>
      <c r="E5" s="51"/>
      <c r="F5" s="51"/>
      <c r="G5" s="376"/>
      <c r="H5" s="51"/>
      <c r="I5" s="52"/>
    </row>
    <row r="6" spans="2:9" ht="51" customHeight="1" hidden="1">
      <c r="B6" s="51"/>
      <c r="C6" s="51"/>
      <c r="D6" s="51"/>
      <c r="E6" s="51"/>
      <c r="F6" s="53" t="s">
        <v>80</v>
      </c>
      <c r="G6" s="377"/>
      <c r="H6" s="53"/>
      <c r="I6" s="52"/>
    </row>
    <row r="7" spans="2:9" ht="12.75">
      <c r="B7" s="54" t="s">
        <v>37</v>
      </c>
      <c r="C7" s="22"/>
      <c r="D7" s="22"/>
      <c r="E7" s="23" t="s">
        <v>38</v>
      </c>
      <c r="F7" s="55">
        <f>F8</f>
        <v>483693</v>
      </c>
      <c r="G7" s="108">
        <f>G8</f>
        <v>0</v>
      </c>
      <c r="H7" s="55">
        <f>H8</f>
        <v>483693</v>
      </c>
      <c r="I7" s="56"/>
    </row>
    <row r="8" spans="2:9" s="49" customFormat="1" ht="25.5">
      <c r="B8" s="14"/>
      <c r="C8" s="25" t="s">
        <v>42</v>
      </c>
      <c r="D8" s="14"/>
      <c r="E8" s="17" t="s">
        <v>43</v>
      </c>
      <c r="F8" s="57">
        <f>SUM(F9:F9)</f>
        <v>483693</v>
      </c>
      <c r="G8" s="58">
        <f>SUM(G9:G9)</f>
        <v>0</v>
      </c>
      <c r="H8" s="57">
        <f>SUM(H9:H9)</f>
        <v>483693</v>
      </c>
      <c r="I8" s="59"/>
    </row>
    <row r="9" spans="2:9" s="49" customFormat="1" ht="25.5">
      <c r="B9" s="27"/>
      <c r="C9" s="60"/>
      <c r="D9" s="28">
        <v>6050</v>
      </c>
      <c r="E9" s="28" t="s">
        <v>44</v>
      </c>
      <c r="F9" s="61">
        <f>SUM(F10:F18)</f>
        <v>483693</v>
      </c>
      <c r="G9" s="378">
        <f>SUM(G10:G18)</f>
        <v>0</v>
      </c>
      <c r="H9" s="61">
        <f>SUM(H10:H18)</f>
        <v>483693</v>
      </c>
      <c r="I9" s="59"/>
    </row>
    <row r="10" spans="2:9" s="49" customFormat="1" ht="12.75">
      <c r="B10" s="27"/>
      <c r="C10" s="60"/>
      <c r="D10" s="28"/>
      <c r="E10" s="28"/>
      <c r="F10" s="62">
        <v>75000</v>
      </c>
      <c r="G10" s="64"/>
      <c r="H10" s="62">
        <f aca="true" t="shared" si="0" ref="H10:H18">F10+G10</f>
        <v>75000</v>
      </c>
      <c r="I10" s="63" t="s">
        <v>81</v>
      </c>
    </row>
    <row r="11" spans="2:9" s="49" customFormat="1" ht="12.75">
      <c r="B11" s="27"/>
      <c r="C11" s="60"/>
      <c r="D11" s="28"/>
      <c r="E11" s="28"/>
      <c r="F11" s="62">
        <v>20000</v>
      </c>
      <c r="G11" s="64"/>
      <c r="H11" s="62">
        <f t="shared" si="0"/>
        <v>20000</v>
      </c>
      <c r="I11" s="63" t="s">
        <v>219</v>
      </c>
    </row>
    <row r="12" spans="2:9" s="49" customFormat="1" ht="24">
      <c r="B12" s="27"/>
      <c r="C12" s="60"/>
      <c r="D12" s="28"/>
      <c r="E12" s="28"/>
      <c r="F12" s="62">
        <v>19293</v>
      </c>
      <c r="G12" s="64"/>
      <c r="H12" s="62">
        <f t="shared" si="0"/>
        <v>19293</v>
      </c>
      <c r="I12" s="63" t="s">
        <v>401</v>
      </c>
    </row>
    <row r="13" spans="2:9" s="49" customFormat="1" ht="12.75">
      <c r="B13" s="27"/>
      <c r="C13" s="60"/>
      <c r="D13" s="28"/>
      <c r="E13" s="28"/>
      <c r="F13" s="62">
        <v>40000</v>
      </c>
      <c r="G13" s="64"/>
      <c r="H13" s="62">
        <f t="shared" si="0"/>
        <v>40000</v>
      </c>
      <c r="I13" s="63" t="s">
        <v>402</v>
      </c>
    </row>
    <row r="14" spans="2:9" s="49" customFormat="1" ht="12.75">
      <c r="B14" s="27"/>
      <c r="C14" s="60"/>
      <c r="D14" s="28"/>
      <c r="E14" s="28"/>
      <c r="F14" s="62">
        <v>10000</v>
      </c>
      <c r="G14" s="64"/>
      <c r="H14" s="62">
        <f t="shared" si="0"/>
        <v>10000</v>
      </c>
      <c r="I14" s="63" t="s">
        <v>403</v>
      </c>
    </row>
    <row r="15" spans="2:9" s="49" customFormat="1" ht="12.75">
      <c r="B15" s="27"/>
      <c r="C15" s="60"/>
      <c r="D15" s="28"/>
      <c r="E15" s="28"/>
      <c r="F15" s="62">
        <v>30400</v>
      </c>
      <c r="G15" s="64"/>
      <c r="H15" s="62">
        <f t="shared" si="0"/>
        <v>30400</v>
      </c>
      <c r="I15" s="63" t="s">
        <v>404</v>
      </c>
    </row>
    <row r="16" spans="2:9" s="49" customFormat="1" ht="12.75">
      <c r="B16" s="27"/>
      <c r="C16" s="60"/>
      <c r="D16" s="28"/>
      <c r="E16" s="28"/>
      <c r="F16" s="62">
        <v>74000</v>
      </c>
      <c r="G16" s="64"/>
      <c r="H16" s="62">
        <f t="shared" si="0"/>
        <v>74000</v>
      </c>
      <c r="I16" s="63" t="s">
        <v>231</v>
      </c>
    </row>
    <row r="17" spans="2:9" s="49" customFormat="1" ht="24">
      <c r="B17" s="27"/>
      <c r="C17" s="60"/>
      <c r="D17" s="28"/>
      <c r="E17" s="28"/>
      <c r="F17" s="62">
        <v>145000</v>
      </c>
      <c r="G17" s="129"/>
      <c r="H17" s="62">
        <f t="shared" si="0"/>
        <v>145000</v>
      </c>
      <c r="I17" s="63" t="s">
        <v>232</v>
      </c>
    </row>
    <row r="18" spans="2:9" s="49" customFormat="1" ht="24">
      <c r="B18" s="27"/>
      <c r="C18" s="60"/>
      <c r="D18" s="28"/>
      <c r="E18" s="28"/>
      <c r="F18" s="62">
        <v>70000</v>
      </c>
      <c r="G18" s="64"/>
      <c r="H18" s="62">
        <f t="shared" si="0"/>
        <v>70000</v>
      </c>
      <c r="I18" s="63" t="s">
        <v>220</v>
      </c>
    </row>
    <row r="19" spans="2:9" s="49" customFormat="1" ht="12.75">
      <c r="B19" s="31">
        <v>600</v>
      </c>
      <c r="C19" s="31"/>
      <c r="D19" s="31"/>
      <c r="E19" s="32" t="s">
        <v>47</v>
      </c>
      <c r="F19" s="65">
        <f>F24+F22+F20</f>
        <v>190000</v>
      </c>
      <c r="G19" s="379">
        <f>G24+G22+G20</f>
        <v>90000</v>
      </c>
      <c r="H19" s="65">
        <f>H24+H22+H20</f>
        <v>280000</v>
      </c>
      <c r="I19" s="67"/>
    </row>
    <row r="20" spans="2:9" s="69" customFormat="1" ht="25.5">
      <c r="B20" s="36"/>
      <c r="C20" s="36">
        <v>60013</v>
      </c>
      <c r="D20" s="36"/>
      <c r="E20" s="131" t="s">
        <v>273</v>
      </c>
      <c r="F20" s="38">
        <f>F21</f>
        <v>20000</v>
      </c>
      <c r="G20" s="380">
        <f>G21</f>
        <v>0</v>
      </c>
      <c r="H20" s="38">
        <f>H21</f>
        <v>20000</v>
      </c>
      <c r="I20" s="68"/>
    </row>
    <row r="21" spans="2:9" s="69" customFormat="1" ht="102">
      <c r="B21" s="36"/>
      <c r="C21" s="36"/>
      <c r="D21" s="111">
        <v>6300</v>
      </c>
      <c r="E21" s="132" t="s">
        <v>50</v>
      </c>
      <c r="F21" s="37">
        <v>20000</v>
      </c>
      <c r="G21" s="210"/>
      <c r="H21" s="62">
        <f>F21+G21</f>
        <v>20000</v>
      </c>
      <c r="I21" s="253" t="s">
        <v>405</v>
      </c>
    </row>
    <row r="22" spans="2:9" s="69" customFormat="1" ht="12.75">
      <c r="B22" s="36"/>
      <c r="C22" s="14">
        <v>60014</v>
      </c>
      <c r="D22" s="14"/>
      <c r="E22" s="17" t="s">
        <v>48</v>
      </c>
      <c r="F22" s="38">
        <f>F23</f>
        <v>130000</v>
      </c>
      <c r="G22" s="39">
        <f>G23</f>
        <v>90000</v>
      </c>
      <c r="H22" s="38">
        <f>H23</f>
        <v>220000</v>
      </c>
      <c r="I22" s="68"/>
    </row>
    <row r="23" spans="2:9" s="69" customFormat="1" ht="102">
      <c r="B23" s="36"/>
      <c r="C23" s="14"/>
      <c r="D23" s="27">
        <v>6300</v>
      </c>
      <c r="E23" s="28" t="s">
        <v>50</v>
      </c>
      <c r="F23" s="37">
        <v>130000</v>
      </c>
      <c r="G23" s="381">
        <v>90000</v>
      </c>
      <c r="H23" s="62">
        <f>F23+G23</f>
        <v>220000</v>
      </c>
      <c r="I23" s="70" t="s">
        <v>406</v>
      </c>
    </row>
    <row r="24" spans="2:9" s="49" customFormat="1" ht="12.75">
      <c r="B24" s="14"/>
      <c r="C24" s="14">
        <v>60016</v>
      </c>
      <c r="D24" s="14"/>
      <c r="E24" s="17" t="s">
        <v>51</v>
      </c>
      <c r="F24" s="57">
        <f>SUM(F25:F25)</f>
        <v>40000</v>
      </c>
      <c r="G24" s="226">
        <f>SUM(G25:G25)</f>
        <v>0</v>
      </c>
      <c r="H24" s="57">
        <f>SUM(H25:H25)</f>
        <v>40000</v>
      </c>
      <c r="I24" s="495"/>
    </row>
    <row r="25" spans="2:9" s="49" customFormat="1" ht="25.5">
      <c r="B25" s="27"/>
      <c r="C25" s="26"/>
      <c r="D25" s="27">
        <v>6050</v>
      </c>
      <c r="E25" s="28" t="s">
        <v>44</v>
      </c>
      <c r="F25" s="61">
        <f>SUM(F26:F28)</f>
        <v>40000</v>
      </c>
      <c r="G25" s="382"/>
      <c r="H25" s="61">
        <f>SUM(H26:H28)</f>
        <v>40000</v>
      </c>
      <c r="I25" s="495"/>
    </row>
    <row r="26" spans="2:9" s="49" customFormat="1" ht="12.75">
      <c r="B26" s="27"/>
      <c r="C26" s="26"/>
      <c r="D26" s="27"/>
      <c r="E26" s="28"/>
      <c r="F26" s="62">
        <v>40000</v>
      </c>
      <c r="G26" s="129"/>
      <c r="H26" s="62">
        <f>F26+G26</f>
        <v>40000</v>
      </c>
      <c r="I26" s="213" t="s">
        <v>407</v>
      </c>
    </row>
    <row r="27" spans="2:9" s="49" customFormat="1" ht="24" hidden="1">
      <c r="B27" s="27"/>
      <c r="C27" s="27"/>
      <c r="D27" s="27"/>
      <c r="E27" s="28"/>
      <c r="F27" s="62"/>
      <c r="G27" s="129"/>
      <c r="H27" s="62">
        <f>F27+G27</f>
        <v>0</v>
      </c>
      <c r="I27" s="63" t="s">
        <v>221</v>
      </c>
    </row>
    <row r="28" spans="2:9" s="49" customFormat="1" ht="12.75" hidden="1">
      <c r="B28" s="27"/>
      <c r="C28" s="26"/>
      <c r="D28" s="27"/>
      <c r="E28" s="28"/>
      <c r="F28" s="62"/>
      <c r="G28" s="64"/>
      <c r="H28" s="62">
        <f>F28+G28</f>
        <v>0</v>
      </c>
      <c r="I28" s="63" t="s">
        <v>156</v>
      </c>
    </row>
    <row r="29" spans="2:9" s="49" customFormat="1" ht="12.75">
      <c r="B29" s="71">
        <v>700</v>
      </c>
      <c r="C29" s="71"/>
      <c r="D29" s="71"/>
      <c r="E29" s="72" t="s">
        <v>21</v>
      </c>
      <c r="F29" s="73">
        <f>F35+F30</f>
        <v>304000</v>
      </c>
      <c r="G29" s="383">
        <f>G35+G30</f>
        <v>0</v>
      </c>
      <c r="H29" s="73">
        <f>H35+H30</f>
        <v>304000</v>
      </c>
      <c r="I29" s="74"/>
    </row>
    <row r="30" spans="2:9" s="132" customFormat="1" ht="25.5" hidden="1">
      <c r="B30" s="36"/>
      <c r="C30" s="14">
        <v>70004</v>
      </c>
      <c r="D30" s="14"/>
      <c r="E30" s="17" t="s">
        <v>52</v>
      </c>
      <c r="F30" s="38">
        <f>F31</f>
        <v>0</v>
      </c>
      <c r="G30" s="39">
        <f>G31</f>
        <v>0</v>
      </c>
      <c r="H30" s="38">
        <f>H31</f>
        <v>0</v>
      </c>
      <c r="I30" s="68"/>
    </row>
    <row r="31" spans="2:9" s="47" customFormat="1" ht="80.25" customHeight="1" hidden="1">
      <c r="B31" s="75"/>
      <c r="C31" s="75"/>
      <c r="D31" s="76">
        <v>6210</v>
      </c>
      <c r="E31" s="77" t="s">
        <v>54</v>
      </c>
      <c r="F31" s="133">
        <f>SUM(F32:F34)</f>
        <v>0</v>
      </c>
      <c r="G31" s="384">
        <f>SUM(G32:G34)</f>
        <v>0</v>
      </c>
      <c r="H31" s="133">
        <f>SUM(H32:H34)</f>
        <v>0</v>
      </c>
      <c r="I31" s="70"/>
    </row>
    <row r="32" spans="2:9" s="47" customFormat="1" ht="29.25" customHeight="1" hidden="1">
      <c r="B32" s="75"/>
      <c r="C32" s="75"/>
      <c r="D32" s="76"/>
      <c r="E32" s="77"/>
      <c r="F32" s="78"/>
      <c r="G32" s="385"/>
      <c r="H32" s="62">
        <f>F32+G32</f>
        <v>0</v>
      </c>
      <c r="I32" s="70" t="s">
        <v>233</v>
      </c>
    </row>
    <row r="33" spans="2:9" s="47" customFormat="1" ht="29.25" customHeight="1" hidden="1">
      <c r="B33" s="75"/>
      <c r="C33" s="75"/>
      <c r="D33" s="76"/>
      <c r="E33" s="77"/>
      <c r="F33" s="78"/>
      <c r="G33" s="386"/>
      <c r="H33" s="62">
        <f>F33+G33</f>
        <v>0</v>
      </c>
      <c r="I33" s="70" t="s">
        <v>240</v>
      </c>
    </row>
    <row r="34" spans="2:9" s="47" customFormat="1" ht="29.25" customHeight="1" hidden="1">
      <c r="B34" s="75"/>
      <c r="C34" s="75"/>
      <c r="D34" s="76"/>
      <c r="E34" s="77"/>
      <c r="F34" s="78"/>
      <c r="G34" s="386"/>
      <c r="H34" s="62">
        <f>F34+G34</f>
        <v>0</v>
      </c>
      <c r="I34" s="70"/>
    </row>
    <row r="35" spans="2:9" s="80" customFormat="1" ht="29.25" customHeight="1">
      <c r="B35" s="36"/>
      <c r="C35" s="14">
        <v>70005</v>
      </c>
      <c r="D35" s="14"/>
      <c r="E35" s="17" t="s">
        <v>22</v>
      </c>
      <c r="F35" s="57">
        <f>F36+F40</f>
        <v>304000</v>
      </c>
      <c r="G35" s="58">
        <f>G36+G40</f>
        <v>0</v>
      </c>
      <c r="H35" s="57">
        <f>H36+H40</f>
        <v>304000</v>
      </c>
      <c r="I35" s="79"/>
    </row>
    <row r="36" spans="2:9" s="80" customFormat="1" ht="25.5">
      <c r="B36" s="36"/>
      <c r="C36" s="36"/>
      <c r="D36" s="27">
        <v>6050</v>
      </c>
      <c r="E36" s="28" t="s">
        <v>44</v>
      </c>
      <c r="F36" s="38">
        <f>SUM(F37:F39)</f>
        <v>214000</v>
      </c>
      <c r="G36" s="39">
        <f>SUM(G37:G39)</f>
        <v>0</v>
      </c>
      <c r="H36" s="38">
        <f>SUM(H37:H39)</f>
        <v>214000</v>
      </c>
      <c r="I36" s="81"/>
    </row>
    <row r="37" spans="2:9" s="80" customFormat="1" ht="12.75">
      <c r="B37" s="36"/>
      <c r="C37" s="36"/>
      <c r="D37" s="27"/>
      <c r="E37" s="28"/>
      <c r="F37" s="37">
        <v>74000</v>
      </c>
      <c r="G37" s="40"/>
      <c r="H37" s="62">
        <f>F37+G37</f>
        <v>74000</v>
      </c>
      <c r="I37" s="81" t="s">
        <v>234</v>
      </c>
    </row>
    <row r="38" spans="2:9" s="80" customFormat="1" ht="12.75">
      <c r="B38" s="36"/>
      <c r="C38" s="36"/>
      <c r="D38" s="27"/>
      <c r="E38" s="28"/>
      <c r="F38" s="37">
        <v>40000</v>
      </c>
      <c r="G38" s="40"/>
      <c r="H38" s="62">
        <f>F38+G38</f>
        <v>40000</v>
      </c>
      <c r="I38" s="81" t="s">
        <v>222</v>
      </c>
    </row>
    <row r="39" spans="2:9" s="80" customFormat="1" ht="12.75">
      <c r="B39" s="36"/>
      <c r="C39" s="36"/>
      <c r="D39" s="27"/>
      <c r="E39" s="28"/>
      <c r="F39" s="37">
        <v>100000</v>
      </c>
      <c r="G39" s="40"/>
      <c r="H39" s="62">
        <f>F39+G39</f>
        <v>100000</v>
      </c>
      <c r="I39" s="81" t="s">
        <v>223</v>
      </c>
    </row>
    <row r="40" spans="2:9" s="80" customFormat="1" ht="38.25">
      <c r="B40" s="36"/>
      <c r="C40" s="36"/>
      <c r="D40" s="27">
        <v>6060</v>
      </c>
      <c r="E40" s="28" t="s">
        <v>55</v>
      </c>
      <c r="F40" s="38">
        <f>SUM(F41:F42)</f>
        <v>90000</v>
      </c>
      <c r="G40" s="39">
        <f>SUM(G41:G42)</f>
        <v>0</v>
      </c>
      <c r="H40" s="38">
        <f>SUM(H41:H42)</f>
        <v>90000</v>
      </c>
      <c r="I40" s="81"/>
    </row>
    <row r="41" spans="2:9" s="80" customFormat="1" ht="12.75">
      <c r="B41" s="36"/>
      <c r="C41" s="36"/>
      <c r="D41" s="27"/>
      <c r="E41" s="28"/>
      <c r="F41" s="37">
        <v>40000</v>
      </c>
      <c r="G41" s="40"/>
      <c r="H41" s="62">
        <f>F41+G41</f>
        <v>40000</v>
      </c>
      <c r="I41" s="81" t="s">
        <v>82</v>
      </c>
    </row>
    <row r="42" spans="2:9" s="80" customFormat="1" ht="12.75">
      <c r="B42" s="36"/>
      <c r="C42" s="36"/>
      <c r="D42" s="27"/>
      <c r="E42" s="28"/>
      <c r="F42" s="37">
        <v>50000</v>
      </c>
      <c r="G42" s="40"/>
      <c r="H42" s="62">
        <f>F42+G42</f>
        <v>50000</v>
      </c>
      <c r="I42" s="81" t="s">
        <v>83</v>
      </c>
    </row>
    <row r="43" spans="2:9" s="49" customFormat="1" ht="21.75" customHeight="1">
      <c r="B43" s="31">
        <v>750</v>
      </c>
      <c r="C43" s="31"/>
      <c r="D43" s="31"/>
      <c r="E43" s="32" t="s">
        <v>25</v>
      </c>
      <c r="F43" s="65">
        <f>F44+F49</f>
        <v>197000</v>
      </c>
      <c r="G43" s="66">
        <f>G44</f>
        <v>211000</v>
      </c>
      <c r="H43" s="65">
        <f>H44+H49</f>
        <v>408000</v>
      </c>
      <c r="I43" s="67"/>
    </row>
    <row r="44" spans="2:9" s="49" customFormat="1" ht="21.75" customHeight="1">
      <c r="B44" s="14"/>
      <c r="C44" s="14">
        <v>75023</v>
      </c>
      <c r="D44" s="14"/>
      <c r="E44" s="17" t="s">
        <v>27</v>
      </c>
      <c r="F44" s="57">
        <f>F45+F46</f>
        <v>90000</v>
      </c>
      <c r="G44" s="58">
        <f>G45+G46+G49</f>
        <v>211000</v>
      </c>
      <c r="H44" s="57">
        <f>H45+H46</f>
        <v>90000</v>
      </c>
      <c r="I44" s="59"/>
    </row>
    <row r="45" spans="2:9" s="49" customFormat="1" ht="36">
      <c r="B45" s="14"/>
      <c r="C45" s="14"/>
      <c r="D45" s="27">
        <v>6050</v>
      </c>
      <c r="E45" s="28" t="s">
        <v>44</v>
      </c>
      <c r="F45" s="42">
        <v>20000</v>
      </c>
      <c r="G45" s="82"/>
      <c r="H45" s="62">
        <f>F45+G45</f>
        <v>20000</v>
      </c>
      <c r="I45" s="70" t="s">
        <v>235</v>
      </c>
    </row>
    <row r="46" spans="2:9" s="49" customFormat="1" ht="38.25" customHeight="1">
      <c r="B46" s="14"/>
      <c r="C46" s="27"/>
      <c r="D46" s="27">
        <v>6060</v>
      </c>
      <c r="E46" s="28" t="s">
        <v>55</v>
      </c>
      <c r="F46" s="57">
        <f>SUM(F47:F48)</f>
        <v>70000</v>
      </c>
      <c r="G46" s="58">
        <f>SUM(G47:G48)</f>
        <v>0</v>
      </c>
      <c r="H46" s="57">
        <f>SUM(H47:H48)</f>
        <v>70000</v>
      </c>
      <c r="I46" s="59"/>
    </row>
    <row r="47" spans="2:9" s="49" customFormat="1" ht="12.75">
      <c r="B47" s="14"/>
      <c r="C47" s="27"/>
      <c r="D47" s="27"/>
      <c r="E47" s="28"/>
      <c r="F47" s="42">
        <v>15000</v>
      </c>
      <c r="G47" s="82"/>
      <c r="H47" s="62">
        <f>F47+G47</f>
        <v>15000</v>
      </c>
      <c r="I47" s="59" t="s">
        <v>408</v>
      </c>
    </row>
    <row r="48" spans="2:9" s="49" customFormat="1" ht="12.75">
      <c r="B48" s="14"/>
      <c r="C48" s="27"/>
      <c r="D48" s="27"/>
      <c r="E48" s="28"/>
      <c r="F48" s="42">
        <v>55000</v>
      </c>
      <c r="G48" s="82"/>
      <c r="H48" s="62">
        <f>F48+G48</f>
        <v>55000</v>
      </c>
      <c r="I48" s="59" t="s">
        <v>84</v>
      </c>
    </row>
    <row r="49" spans="2:9" s="49" customFormat="1" ht="14.25" customHeight="1">
      <c r="B49" s="14"/>
      <c r="C49" s="14">
        <v>75095</v>
      </c>
      <c r="D49" s="14"/>
      <c r="E49" s="17" t="s">
        <v>34</v>
      </c>
      <c r="F49" s="57">
        <f>F50+F55</f>
        <v>107000</v>
      </c>
      <c r="G49" s="58">
        <f>G50+G55</f>
        <v>211000</v>
      </c>
      <c r="H49" s="57">
        <f>H50+H55</f>
        <v>318000</v>
      </c>
      <c r="I49" s="59"/>
    </row>
    <row r="50" spans="2:9" s="49" customFormat="1" ht="25.5">
      <c r="B50" s="14"/>
      <c r="C50" s="27"/>
      <c r="D50" s="27">
        <v>6050</v>
      </c>
      <c r="E50" s="28" t="s">
        <v>44</v>
      </c>
      <c r="F50" s="57">
        <f>SUM(F51:F54)</f>
        <v>107000</v>
      </c>
      <c r="G50" s="58">
        <f>SUM(G51:G54)</f>
        <v>211000</v>
      </c>
      <c r="H50" s="57">
        <f>SUM(H51:H54)</f>
        <v>318000</v>
      </c>
      <c r="I50" s="83"/>
    </row>
    <row r="51" spans="2:9" s="49" customFormat="1" ht="12.75">
      <c r="B51" s="14"/>
      <c r="C51" s="27"/>
      <c r="D51" s="27"/>
      <c r="E51" s="28"/>
      <c r="F51" s="42">
        <v>27000</v>
      </c>
      <c r="G51" s="82"/>
      <c r="H51" s="62">
        <f>F51+G51</f>
        <v>27000</v>
      </c>
      <c r="I51" s="83" t="s">
        <v>409</v>
      </c>
    </row>
    <row r="52" spans="2:9" s="49" customFormat="1" ht="12.75">
      <c r="B52" s="14"/>
      <c r="C52" s="27"/>
      <c r="D52" s="27"/>
      <c r="E52" s="28"/>
      <c r="F52" s="42">
        <v>30000</v>
      </c>
      <c r="G52" s="82"/>
      <c r="H52" s="62">
        <f>F52+G52</f>
        <v>30000</v>
      </c>
      <c r="I52" s="83" t="s">
        <v>410</v>
      </c>
    </row>
    <row r="53" spans="2:9" s="49" customFormat="1" ht="12.75">
      <c r="B53" s="14"/>
      <c r="C53" s="27"/>
      <c r="D53" s="27"/>
      <c r="E53" s="28"/>
      <c r="F53" s="42">
        <v>50000</v>
      </c>
      <c r="G53" s="82"/>
      <c r="H53" s="62">
        <f>F53+G53</f>
        <v>50000</v>
      </c>
      <c r="I53" s="83" t="s">
        <v>224</v>
      </c>
    </row>
    <row r="54" spans="2:9" s="49" customFormat="1" ht="24">
      <c r="B54" s="14"/>
      <c r="C54" s="27"/>
      <c r="D54" s="27"/>
      <c r="E54" s="28"/>
      <c r="F54" s="42"/>
      <c r="G54" s="82">
        <v>211000</v>
      </c>
      <c r="H54" s="62">
        <f>F54+G54</f>
        <v>211000</v>
      </c>
      <c r="I54" s="83" t="s">
        <v>411</v>
      </c>
    </row>
    <row r="55" spans="2:9" s="49" customFormat="1" ht="38.25" hidden="1">
      <c r="B55" s="14"/>
      <c r="C55" s="27"/>
      <c r="D55" s="27">
        <v>6060</v>
      </c>
      <c r="E55" s="28" t="s">
        <v>55</v>
      </c>
      <c r="F55" s="57">
        <f>SUM(F56:F57)</f>
        <v>0</v>
      </c>
      <c r="G55" s="58">
        <f>SUM(G56:G57)</f>
        <v>0</v>
      </c>
      <c r="H55" s="57">
        <f>SUM(H56:H57)</f>
        <v>0</v>
      </c>
      <c r="I55" s="83"/>
    </row>
    <row r="56" spans="2:9" s="49" customFormat="1" ht="12.75" hidden="1">
      <c r="B56" s="14"/>
      <c r="C56" s="27"/>
      <c r="D56" s="27"/>
      <c r="E56" s="28"/>
      <c r="F56" s="42"/>
      <c r="G56" s="82"/>
      <c r="H56" s="62">
        <f>F56+G56</f>
        <v>0</v>
      </c>
      <c r="I56" s="83" t="s">
        <v>225</v>
      </c>
    </row>
    <row r="57" spans="2:9" s="49" customFormat="1" ht="12.75" hidden="1">
      <c r="B57" s="14"/>
      <c r="C57" s="27"/>
      <c r="D57" s="27"/>
      <c r="E57" s="28"/>
      <c r="F57" s="42"/>
      <c r="G57" s="82"/>
      <c r="H57" s="62">
        <f>F57+G57</f>
        <v>0</v>
      </c>
      <c r="I57" s="83" t="s">
        <v>157</v>
      </c>
    </row>
    <row r="58" spans="2:9" s="49" customFormat="1" ht="25.5">
      <c r="B58" s="31">
        <v>754</v>
      </c>
      <c r="C58" s="31"/>
      <c r="D58" s="31"/>
      <c r="E58" s="32" t="s">
        <v>72</v>
      </c>
      <c r="F58" s="65">
        <f>F59</f>
        <v>20000</v>
      </c>
      <c r="G58" s="254">
        <f>G59</f>
        <v>-5000</v>
      </c>
      <c r="H58" s="65">
        <f>H59</f>
        <v>15000</v>
      </c>
      <c r="I58" s="67"/>
    </row>
    <row r="59" spans="2:9" s="49" customFormat="1" ht="12.75">
      <c r="B59" s="14"/>
      <c r="C59" s="14">
        <v>75412</v>
      </c>
      <c r="D59" s="14"/>
      <c r="E59" s="17" t="s">
        <v>73</v>
      </c>
      <c r="F59" s="57">
        <f>SUM(F60:F60)</f>
        <v>20000</v>
      </c>
      <c r="G59" s="252">
        <f>SUM(G60:G60)</f>
        <v>-5000</v>
      </c>
      <c r="H59" s="57">
        <f>SUM(H60:H60)</f>
        <v>15000</v>
      </c>
      <c r="I59" s="59"/>
    </row>
    <row r="60" spans="2:9" s="49" customFormat="1" ht="63.75" customHeight="1">
      <c r="B60" s="14"/>
      <c r="C60" s="14"/>
      <c r="D60" s="27">
        <v>6230</v>
      </c>
      <c r="E60" s="28" t="s">
        <v>74</v>
      </c>
      <c r="F60" s="42">
        <v>20000</v>
      </c>
      <c r="G60" s="230">
        <v>-5000</v>
      </c>
      <c r="H60" s="42">
        <f>F60+G60</f>
        <v>15000</v>
      </c>
      <c r="I60" s="59" t="s">
        <v>85</v>
      </c>
    </row>
    <row r="61" spans="2:9" s="49" customFormat="1" ht="12.75">
      <c r="B61" s="31">
        <v>801</v>
      </c>
      <c r="C61" s="31"/>
      <c r="D61" s="31"/>
      <c r="E61" s="32" t="s">
        <v>29</v>
      </c>
      <c r="F61" s="65">
        <f>F72+F80+F62+F88+F90</f>
        <v>93000</v>
      </c>
      <c r="G61" s="254">
        <f>G72+G80+G62+G88+G90</f>
        <v>-65212</v>
      </c>
      <c r="H61" s="65">
        <f>H72+H80+H62+H88+H90</f>
        <v>27788</v>
      </c>
      <c r="I61" s="67"/>
    </row>
    <row r="62" spans="2:9" s="69" customFormat="1" ht="12.75">
      <c r="B62" s="36"/>
      <c r="C62" s="14">
        <v>80101</v>
      </c>
      <c r="D62" s="14"/>
      <c r="E62" s="17" t="s">
        <v>30</v>
      </c>
      <c r="F62" s="38">
        <f>F63+F68</f>
        <v>87000</v>
      </c>
      <c r="G62" s="256">
        <f>G63+G68</f>
        <v>-67700</v>
      </c>
      <c r="H62" s="38">
        <f>H63+H68</f>
        <v>19300</v>
      </c>
      <c r="I62" s="68"/>
    </row>
    <row r="63" spans="2:9" s="69" customFormat="1" ht="25.5">
      <c r="B63" s="36"/>
      <c r="C63" s="14"/>
      <c r="D63" s="27">
        <v>6050</v>
      </c>
      <c r="E63" s="28" t="s">
        <v>44</v>
      </c>
      <c r="F63" s="38">
        <f>SUM(F64:F67)</f>
        <v>80000</v>
      </c>
      <c r="G63" s="256">
        <f>SUM(G64:G67)</f>
        <v>-65000</v>
      </c>
      <c r="H63" s="38">
        <f>SUM(H64:H67)</f>
        <v>15000</v>
      </c>
      <c r="I63" s="68"/>
    </row>
    <row r="64" spans="2:9" s="69" customFormat="1" ht="24">
      <c r="B64" s="36"/>
      <c r="C64" s="14"/>
      <c r="D64" s="27"/>
      <c r="E64" s="28"/>
      <c r="F64" s="37">
        <v>10000</v>
      </c>
      <c r="G64" s="231">
        <v>-10000</v>
      </c>
      <c r="H64" s="42">
        <f aca="true" t="shared" si="1" ref="H64:H71">F64+G64</f>
        <v>0</v>
      </c>
      <c r="I64" s="68" t="s">
        <v>412</v>
      </c>
    </row>
    <row r="65" spans="2:9" s="69" customFormat="1" ht="12.75">
      <c r="B65" s="36"/>
      <c r="C65" s="14"/>
      <c r="D65" s="27"/>
      <c r="E65" s="28"/>
      <c r="F65" s="37">
        <v>20000</v>
      </c>
      <c r="G65" s="231">
        <v>-20000</v>
      </c>
      <c r="H65" s="42">
        <f t="shared" si="1"/>
        <v>0</v>
      </c>
      <c r="I65" s="68" t="s">
        <v>413</v>
      </c>
    </row>
    <row r="66" spans="2:9" s="69" customFormat="1" ht="12.75">
      <c r="B66" s="36"/>
      <c r="C66" s="14"/>
      <c r="D66" s="27"/>
      <c r="E66" s="28"/>
      <c r="F66" s="37">
        <v>15000</v>
      </c>
      <c r="G66" s="231"/>
      <c r="H66" s="42">
        <f t="shared" si="1"/>
        <v>15000</v>
      </c>
      <c r="I66" s="68" t="s">
        <v>414</v>
      </c>
    </row>
    <row r="67" spans="2:9" s="69" customFormat="1" ht="24">
      <c r="B67" s="36"/>
      <c r="C67" s="14"/>
      <c r="D67" s="27"/>
      <c r="E67" s="28"/>
      <c r="F67" s="37">
        <v>35000</v>
      </c>
      <c r="G67" s="231">
        <v>-35000</v>
      </c>
      <c r="H67" s="42">
        <f t="shared" si="1"/>
        <v>0</v>
      </c>
      <c r="I67" s="68" t="s">
        <v>415</v>
      </c>
    </row>
    <row r="68" spans="2:9" s="49" customFormat="1" ht="38.25">
      <c r="B68" s="14"/>
      <c r="C68" s="27"/>
      <c r="D68" s="27">
        <v>6060</v>
      </c>
      <c r="E68" s="28" t="s">
        <v>55</v>
      </c>
      <c r="F68" s="57">
        <f>SUM(F69:F71)</f>
        <v>7000</v>
      </c>
      <c r="G68" s="252">
        <f>SUM(G69:G71)</f>
        <v>-2700</v>
      </c>
      <c r="H68" s="387">
        <f>F68+G68</f>
        <v>4300</v>
      </c>
      <c r="I68" s="59"/>
    </row>
    <row r="69" spans="2:9" s="49" customFormat="1" ht="24">
      <c r="B69" s="14"/>
      <c r="C69" s="27"/>
      <c r="D69" s="27"/>
      <c r="E69" s="28"/>
      <c r="F69" s="42">
        <v>4000</v>
      </c>
      <c r="G69" s="230">
        <v>-1500</v>
      </c>
      <c r="H69" s="42">
        <f t="shared" si="1"/>
        <v>2500</v>
      </c>
      <c r="I69" s="59" t="s">
        <v>416</v>
      </c>
    </row>
    <row r="70" spans="2:9" s="49" customFormat="1" ht="24">
      <c r="B70" s="14"/>
      <c r="C70" s="27"/>
      <c r="D70" s="27"/>
      <c r="E70" s="28"/>
      <c r="F70" s="42">
        <v>3000</v>
      </c>
      <c r="G70" s="230">
        <v>-3000</v>
      </c>
      <c r="H70" s="42">
        <f t="shared" si="1"/>
        <v>0</v>
      </c>
      <c r="I70" s="59" t="s">
        <v>417</v>
      </c>
    </row>
    <row r="71" spans="2:9" s="49" customFormat="1" ht="12.75">
      <c r="B71" s="14"/>
      <c r="C71" s="27"/>
      <c r="D71" s="27"/>
      <c r="E71" s="28"/>
      <c r="F71" s="42"/>
      <c r="G71" s="230">
        <v>1800</v>
      </c>
      <c r="H71" s="42">
        <f t="shared" si="1"/>
        <v>1800</v>
      </c>
      <c r="I71" s="59" t="s">
        <v>418</v>
      </c>
    </row>
    <row r="72" spans="2:9" s="49" customFormat="1" ht="12.75">
      <c r="B72" s="14"/>
      <c r="C72" s="14">
        <v>80104</v>
      </c>
      <c r="D72" s="14"/>
      <c r="E72" s="17" t="s">
        <v>32</v>
      </c>
      <c r="F72" s="57">
        <f>F73+F77</f>
        <v>0</v>
      </c>
      <c r="G72" s="58">
        <f>G73+G77</f>
        <v>8488</v>
      </c>
      <c r="H72" s="57">
        <f>H73+H77</f>
        <v>8488</v>
      </c>
      <c r="I72" s="59"/>
    </row>
    <row r="73" spans="2:9" s="49" customFormat="1" ht="25.5" hidden="1">
      <c r="B73" s="14"/>
      <c r="C73" s="27"/>
      <c r="D73" s="27">
        <v>6050</v>
      </c>
      <c r="E73" s="28" t="s">
        <v>44</v>
      </c>
      <c r="F73" s="42"/>
      <c r="G73" s="82"/>
      <c r="H73" s="62">
        <f>F73+G73</f>
        <v>0</v>
      </c>
      <c r="I73" s="59" t="s">
        <v>226</v>
      </c>
    </row>
    <row r="74" spans="2:9" s="49" customFormat="1" ht="12.75" hidden="1">
      <c r="B74" s="14"/>
      <c r="C74" s="27"/>
      <c r="D74" s="27"/>
      <c r="E74" s="28"/>
      <c r="F74" s="42"/>
      <c r="G74" s="82"/>
      <c r="H74" s="62">
        <f>F74+G74</f>
        <v>0</v>
      </c>
      <c r="I74" s="59" t="s">
        <v>87</v>
      </c>
    </row>
    <row r="75" spans="2:9" s="49" customFormat="1" ht="12.75" hidden="1">
      <c r="B75" s="14"/>
      <c r="C75" s="27"/>
      <c r="D75" s="27"/>
      <c r="E75" s="28"/>
      <c r="F75" s="42"/>
      <c r="G75" s="82"/>
      <c r="H75" s="62">
        <f>F75+G75</f>
        <v>0</v>
      </c>
      <c r="I75" s="59" t="s">
        <v>92</v>
      </c>
    </row>
    <row r="76" spans="2:9" s="49" customFormat="1" ht="12.75" hidden="1">
      <c r="B76" s="14"/>
      <c r="C76" s="27"/>
      <c r="D76" s="27"/>
      <c r="E76" s="28"/>
      <c r="F76" s="42"/>
      <c r="G76" s="82"/>
      <c r="H76" s="62">
        <f>F76+G76</f>
        <v>0</v>
      </c>
      <c r="I76" s="84" t="s">
        <v>88</v>
      </c>
    </row>
    <row r="77" spans="2:9" s="49" customFormat="1" ht="27.75" customHeight="1">
      <c r="B77" s="14"/>
      <c r="C77" s="27"/>
      <c r="D77" s="27">
        <v>6060</v>
      </c>
      <c r="E77" s="28" t="s">
        <v>55</v>
      </c>
      <c r="F77" s="57">
        <f>SUM(F78:F79)</f>
        <v>0</v>
      </c>
      <c r="G77" s="58">
        <f>SUM(G78:G79)</f>
        <v>8488</v>
      </c>
      <c r="H77" s="57">
        <f>SUM(H78:H79)</f>
        <v>8488</v>
      </c>
      <c r="I77" s="85"/>
    </row>
    <row r="78" spans="2:9" s="49" customFormat="1" ht="12.75">
      <c r="B78" s="14"/>
      <c r="C78" s="27"/>
      <c r="D78" s="27"/>
      <c r="E78" s="28"/>
      <c r="F78" s="42"/>
      <c r="G78" s="82">
        <v>4502</v>
      </c>
      <c r="H78" s="62">
        <f>F78+G78</f>
        <v>4502</v>
      </c>
      <c r="I78" s="85" t="s">
        <v>419</v>
      </c>
    </row>
    <row r="79" spans="2:9" s="49" customFormat="1" ht="12.75">
      <c r="B79" s="14"/>
      <c r="C79" s="27"/>
      <c r="D79" s="27"/>
      <c r="E79" s="28"/>
      <c r="F79" s="42"/>
      <c r="G79" s="82">
        <v>3986</v>
      </c>
      <c r="H79" s="62">
        <f>F79+G79</f>
        <v>3986</v>
      </c>
      <c r="I79" s="85" t="s">
        <v>153</v>
      </c>
    </row>
    <row r="80" spans="2:9" s="49" customFormat="1" ht="12.75" hidden="1">
      <c r="B80" s="14"/>
      <c r="C80" s="14">
        <v>80110</v>
      </c>
      <c r="D80" s="14"/>
      <c r="E80" s="17" t="s">
        <v>33</v>
      </c>
      <c r="F80" s="57">
        <f>F81+F85</f>
        <v>0</v>
      </c>
      <c r="G80" s="58">
        <f>G81+G85</f>
        <v>0</v>
      </c>
      <c r="H80" s="57">
        <f>H81+H85</f>
        <v>0</v>
      </c>
      <c r="I80" s="59"/>
    </row>
    <row r="81" spans="2:9" s="49" customFormat="1" ht="25.5" hidden="1">
      <c r="B81" s="14"/>
      <c r="C81" s="14"/>
      <c r="D81" s="27">
        <v>6050</v>
      </c>
      <c r="E81" s="28" t="s">
        <v>44</v>
      </c>
      <c r="F81" s="57">
        <f>SUM(F82:F84)</f>
        <v>0</v>
      </c>
      <c r="G81" s="58">
        <f>SUM(G82:G84)</f>
        <v>0</v>
      </c>
      <c r="H81" s="57">
        <f>SUM(H82:H84)</f>
        <v>0</v>
      </c>
      <c r="I81" s="59"/>
    </row>
    <row r="82" spans="2:9" s="49" customFormat="1" ht="19.5" customHeight="1" hidden="1">
      <c r="B82" s="14"/>
      <c r="C82" s="14"/>
      <c r="D82" s="27"/>
      <c r="E82" s="28"/>
      <c r="F82" s="42"/>
      <c r="G82" s="82"/>
      <c r="H82" s="62">
        <f>F82+G82</f>
        <v>0</v>
      </c>
      <c r="I82" s="59" t="s">
        <v>158</v>
      </c>
    </row>
    <row r="83" spans="2:9" s="49" customFormat="1" ht="12.75" hidden="1">
      <c r="B83" s="14"/>
      <c r="C83" s="14"/>
      <c r="D83" s="27"/>
      <c r="E83" s="28"/>
      <c r="F83" s="42"/>
      <c r="G83" s="82"/>
      <c r="H83" s="62">
        <f>F83+G83</f>
        <v>0</v>
      </c>
      <c r="I83" s="59" t="s">
        <v>238</v>
      </c>
    </row>
    <row r="84" spans="2:9" s="49" customFormat="1" ht="12.75" hidden="1">
      <c r="B84" s="14"/>
      <c r="C84" s="14"/>
      <c r="D84" s="27"/>
      <c r="E84" s="28"/>
      <c r="F84" s="42"/>
      <c r="G84" s="82"/>
      <c r="H84" s="62">
        <f>F84+G84</f>
        <v>0</v>
      </c>
      <c r="I84" s="59" t="s">
        <v>159</v>
      </c>
    </row>
    <row r="85" spans="2:9" s="49" customFormat="1" ht="42" customHeight="1" hidden="1">
      <c r="B85" s="14"/>
      <c r="C85" s="14"/>
      <c r="D85" s="27">
        <v>6060</v>
      </c>
      <c r="E85" s="28" t="s">
        <v>55</v>
      </c>
      <c r="F85" s="57">
        <f>SUM(F86:F87)</f>
        <v>0</v>
      </c>
      <c r="G85" s="58">
        <f>SUM(G86:G87)</f>
        <v>0</v>
      </c>
      <c r="H85" s="57">
        <f>SUM(H86:H87)</f>
        <v>0</v>
      </c>
      <c r="I85" s="59"/>
    </row>
    <row r="86" spans="2:9" s="49" customFormat="1" ht="12.75" hidden="1">
      <c r="B86" s="14"/>
      <c r="C86" s="14"/>
      <c r="D86" s="27"/>
      <c r="E86" s="28"/>
      <c r="F86" s="42"/>
      <c r="G86" s="82"/>
      <c r="H86" s="62">
        <f>F86+G86</f>
        <v>0</v>
      </c>
      <c r="I86" s="59" t="s">
        <v>227</v>
      </c>
    </row>
    <row r="87" spans="2:9" s="49" customFormat="1" ht="12.75" hidden="1">
      <c r="B87" s="14"/>
      <c r="C87" s="14"/>
      <c r="D87" s="27"/>
      <c r="E87" s="28"/>
      <c r="F87" s="42"/>
      <c r="G87" s="82"/>
      <c r="H87" s="62">
        <f>F87+G87</f>
        <v>0</v>
      </c>
      <c r="I87" s="59" t="s">
        <v>228</v>
      </c>
    </row>
    <row r="88" spans="2:9" s="49" customFormat="1" ht="25.5">
      <c r="B88" s="14"/>
      <c r="C88" s="14">
        <v>80114</v>
      </c>
      <c r="D88" s="14"/>
      <c r="E88" s="17" t="s">
        <v>76</v>
      </c>
      <c r="F88" s="57">
        <f>F89</f>
        <v>6000</v>
      </c>
      <c r="G88" s="252">
        <f>G89</f>
        <v>-6000</v>
      </c>
      <c r="H88" s="57">
        <f>H89</f>
        <v>0</v>
      </c>
      <c r="I88" s="59"/>
    </row>
    <row r="89" spans="2:9" s="49" customFormat="1" ht="38.25">
      <c r="B89" s="14"/>
      <c r="C89" s="14"/>
      <c r="D89" s="27">
        <v>6060</v>
      </c>
      <c r="E89" s="28" t="s">
        <v>55</v>
      </c>
      <c r="F89" s="42">
        <v>6000</v>
      </c>
      <c r="G89" s="230">
        <v>-6000</v>
      </c>
      <c r="H89" s="62">
        <f>F89+G89</f>
        <v>0</v>
      </c>
      <c r="I89" s="59" t="s">
        <v>86</v>
      </c>
    </row>
    <row r="90" spans="2:9" s="49" customFormat="1" ht="12.75" hidden="1">
      <c r="B90" s="14"/>
      <c r="C90" s="14">
        <v>80195</v>
      </c>
      <c r="D90" s="14"/>
      <c r="E90" s="17" t="s">
        <v>34</v>
      </c>
      <c r="F90" s="57">
        <f>F91</f>
        <v>0</v>
      </c>
      <c r="G90" s="58">
        <f>G91</f>
        <v>0</v>
      </c>
      <c r="H90" s="57">
        <f>H91</f>
        <v>0</v>
      </c>
      <c r="I90" s="59"/>
    </row>
    <row r="91" spans="2:9" s="49" customFormat="1" ht="38.25" hidden="1">
      <c r="B91" s="14"/>
      <c r="C91" s="14"/>
      <c r="D91" s="27">
        <v>6060</v>
      </c>
      <c r="E91" s="28" t="s">
        <v>55</v>
      </c>
      <c r="F91" s="62"/>
      <c r="G91" s="82"/>
      <c r="H91" s="62">
        <f>F91+G91</f>
        <v>0</v>
      </c>
      <c r="I91" s="59" t="s">
        <v>241</v>
      </c>
    </row>
    <row r="92" spans="2:9" s="49" customFormat="1" ht="12.75">
      <c r="B92" s="30">
        <v>851</v>
      </c>
      <c r="C92" s="41"/>
      <c r="D92" s="41"/>
      <c r="E92" s="32" t="s">
        <v>89</v>
      </c>
      <c r="F92" s="65">
        <f aca="true" t="shared" si="2" ref="F92:H93">F93</f>
        <v>10000</v>
      </c>
      <c r="G92" s="66">
        <f t="shared" si="2"/>
        <v>6000</v>
      </c>
      <c r="H92" s="65">
        <f>H93+H97</f>
        <v>16000</v>
      </c>
      <c r="I92" s="67"/>
    </row>
    <row r="93" spans="2:9" s="49" customFormat="1" ht="25.5">
      <c r="B93" s="24"/>
      <c r="C93" s="14">
        <v>85154</v>
      </c>
      <c r="D93" s="14"/>
      <c r="E93" s="17" t="s">
        <v>90</v>
      </c>
      <c r="F93" s="57">
        <f>F94+F97</f>
        <v>10000</v>
      </c>
      <c r="G93" s="58">
        <f t="shared" si="2"/>
        <v>6000</v>
      </c>
      <c r="H93" s="57">
        <f t="shared" si="2"/>
        <v>6000</v>
      </c>
      <c r="I93" s="59"/>
    </row>
    <row r="94" spans="2:9" s="49" customFormat="1" ht="38.25">
      <c r="B94" s="14"/>
      <c r="C94" s="14"/>
      <c r="D94" s="27">
        <v>6060</v>
      </c>
      <c r="E94" s="28" t="s">
        <v>55</v>
      </c>
      <c r="F94" s="61">
        <f>SUM(F95:F96)</f>
        <v>0</v>
      </c>
      <c r="G94" s="378">
        <f>SUM(G95:G96)</f>
        <v>6000</v>
      </c>
      <c r="H94" s="61">
        <f>SUM(H95:H96)</f>
        <v>6000</v>
      </c>
      <c r="I94" s="59"/>
    </row>
    <row r="95" spans="2:9" s="49" customFormat="1" ht="12.75">
      <c r="B95" s="14"/>
      <c r="C95" s="14"/>
      <c r="D95" s="27"/>
      <c r="E95" s="28"/>
      <c r="F95" s="42"/>
      <c r="G95" s="82">
        <v>6000</v>
      </c>
      <c r="H95" s="62">
        <f>F95+G95</f>
        <v>6000</v>
      </c>
      <c r="I95" s="59" t="s">
        <v>420</v>
      </c>
    </row>
    <row r="96" spans="2:9" s="49" customFormat="1" ht="12.75" hidden="1">
      <c r="B96" s="14"/>
      <c r="C96" s="14"/>
      <c r="D96" s="27"/>
      <c r="E96" s="28"/>
      <c r="F96" s="42"/>
      <c r="G96" s="82"/>
      <c r="H96" s="62">
        <f>F96+G96</f>
        <v>0</v>
      </c>
      <c r="I96" s="59" t="s">
        <v>242</v>
      </c>
    </row>
    <row r="97" spans="2:9" s="49" customFormat="1" ht="12.75">
      <c r="B97" s="14"/>
      <c r="C97" s="14">
        <v>85195</v>
      </c>
      <c r="D97" s="14"/>
      <c r="E97" s="17" t="s">
        <v>34</v>
      </c>
      <c r="F97" s="57">
        <f>F98</f>
        <v>10000</v>
      </c>
      <c r="G97" s="226">
        <f>G98</f>
        <v>0</v>
      </c>
      <c r="H97" s="57">
        <f>H98</f>
        <v>10000</v>
      </c>
      <c r="I97" s="59"/>
    </row>
    <row r="98" spans="2:9" s="49" customFormat="1" ht="25.5">
      <c r="B98" s="14"/>
      <c r="C98" s="14"/>
      <c r="D98" s="27">
        <v>6050</v>
      </c>
      <c r="E98" s="28" t="s">
        <v>44</v>
      </c>
      <c r="F98" s="42">
        <v>10000</v>
      </c>
      <c r="G98" s="82"/>
      <c r="H98" s="62">
        <f>F98+G98</f>
        <v>10000</v>
      </c>
      <c r="I98" s="227" t="s">
        <v>248</v>
      </c>
    </row>
    <row r="99" spans="2:9" s="49" customFormat="1" ht="25.5">
      <c r="B99" s="31">
        <v>900</v>
      </c>
      <c r="C99" s="31"/>
      <c r="D99" s="31"/>
      <c r="E99" s="32" t="s">
        <v>35</v>
      </c>
      <c r="F99" s="65">
        <f>F102+F107</f>
        <v>55000</v>
      </c>
      <c r="G99" s="66">
        <f>G102+G107</f>
        <v>200000</v>
      </c>
      <c r="H99" s="65">
        <f>H102+H107</f>
        <v>255000</v>
      </c>
      <c r="I99" s="67"/>
    </row>
    <row r="100" spans="2:9" s="69" customFormat="1" ht="25.5" hidden="1">
      <c r="B100" s="36"/>
      <c r="C100" s="14">
        <v>90001</v>
      </c>
      <c r="D100" s="14"/>
      <c r="E100" s="17" t="s">
        <v>77</v>
      </c>
      <c r="F100" s="38">
        <f>F101</f>
        <v>0</v>
      </c>
      <c r="G100" s="39">
        <f>G101</f>
        <v>0</v>
      </c>
      <c r="H100" s="38">
        <f>H101</f>
        <v>0</v>
      </c>
      <c r="I100" s="68"/>
    </row>
    <row r="101" spans="2:9" s="69" customFormat="1" ht="25.5" hidden="1">
      <c r="B101" s="36"/>
      <c r="C101" s="36"/>
      <c r="D101" s="27">
        <v>6050</v>
      </c>
      <c r="E101" s="28" t="s">
        <v>44</v>
      </c>
      <c r="F101" s="37">
        <v>0</v>
      </c>
      <c r="G101" s="40"/>
      <c r="H101" s="62">
        <f>F101+G101</f>
        <v>0</v>
      </c>
      <c r="I101" s="68" t="s">
        <v>91</v>
      </c>
    </row>
    <row r="102" spans="2:9" s="49" customFormat="1" ht="25.5">
      <c r="B102" s="14"/>
      <c r="C102" s="14">
        <v>90015</v>
      </c>
      <c r="D102" s="14"/>
      <c r="E102" s="17" t="s">
        <v>78</v>
      </c>
      <c r="F102" s="57">
        <f>F103</f>
        <v>55000</v>
      </c>
      <c r="G102" s="58">
        <f>G103</f>
        <v>0</v>
      </c>
      <c r="H102" s="57">
        <f>H103</f>
        <v>55000</v>
      </c>
      <c r="I102" s="59"/>
    </row>
    <row r="103" spans="2:9" s="49" customFormat="1" ht="28.5" customHeight="1">
      <c r="B103" s="14"/>
      <c r="C103" s="27"/>
      <c r="D103" s="27">
        <v>6050</v>
      </c>
      <c r="E103" s="28" t="s">
        <v>44</v>
      </c>
      <c r="F103" s="57">
        <f>SUM(F104:F106)</f>
        <v>55000</v>
      </c>
      <c r="G103" s="58">
        <f>SUM(G104:G106)</f>
        <v>0</v>
      </c>
      <c r="H103" s="57">
        <f>SUM(H104:H106)</f>
        <v>55000</v>
      </c>
      <c r="I103" s="59"/>
    </row>
    <row r="104" spans="2:9" s="49" customFormat="1" ht="12.75">
      <c r="B104" s="14"/>
      <c r="C104" s="27"/>
      <c r="D104" s="27"/>
      <c r="E104" s="28"/>
      <c r="F104" s="42"/>
      <c r="G104" s="82">
        <v>12000</v>
      </c>
      <c r="H104" s="62">
        <f>F104+G104</f>
        <v>12000</v>
      </c>
      <c r="I104" s="59" t="s">
        <v>421</v>
      </c>
    </row>
    <row r="105" spans="2:9" s="49" customFormat="1" ht="24">
      <c r="B105" s="14"/>
      <c r="C105" s="27"/>
      <c r="D105" s="27"/>
      <c r="E105" s="28"/>
      <c r="F105" s="42">
        <v>30000</v>
      </c>
      <c r="G105" s="230">
        <v>-12000</v>
      </c>
      <c r="H105" s="62">
        <f>F105+G105</f>
        <v>18000</v>
      </c>
      <c r="I105" s="59" t="s">
        <v>422</v>
      </c>
    </row>
    <row r="106" spans="2:9" s="49" customFormat="1" ht="24">
      <c r="B106" s="14"/>
      <c r="C106" s="27"/>
      <c r="D106" s="27"/>
      <c r="E106" s="28"/>
      <c r="F106" s="42">
        <v>25000</v>
      </c>
      <c r="G106" s="82"/>
      <c r="H106" s="62">
        <f>F106+G106</f>
        <v>25000</v>
      </c>
      <c r="I106" s="59" t="s">
        <v>423</v>
      </c>
    </row>
    <row r="107" spans="2:9" s="49" customFormat="1" ht="12.75">
      <c r="B107" s="134"/>
      <c r="C107" s="14">
        <v>90095</v>
      </c>
      <c r="D107" s="14"/>
      <c r="E107" s="17" t="s">
        <v>34</v>
      </c>
      <c r="F107" s="57">
        <f>F108</f>
        <v>0</v>
      </c>
      <c r="G107" s="58">
        <f>G108</f>
        <v>200000</v>
      </c>
      <c r="H107" s="57">
        <f>H108</f>
        <v>200000</v>
      </c>
      <c r="I107" s="59"/>
    </row>
    <row r="108" spans="2:9" s="49" customFormat="1" ht="25.5">
      <c r="B108" s="134"/>
      <c r="C108" s="27"/>
      <c r="D108" s="27">
        <v>6050</v>
      </c>
      <c r="E108" s="28" t="s">
        <v>44</v>
      </c>
      <c r="F108" s="42"/>
      <c r="G108" s="82">
        <v>200000</v>
      </c>
      <c r="H108" s="62">
        <f>F108+G108</f>
        <v>200000</v>
      </c>
      <c r="I108" s="200" t="s">
        <v>237</v>
      </c>
    </row>
    <row r="109" spans="2:9" s="49" customFormat="1" ht="12.75">
      <c r="B109" s="30">
        <v>926</v>
      </c>
      <c r="C109" s="31"/>
      <c r="D109" s="31"/>
      <c r="E109" s="32" t="s">
        <v>13</v>
      </c>
      <c r="F109" s="65">
        <f aca="true" t="shared" si="3" ref="F109:H110">F110</f>
        <v>650000</v>
      </c>
      <c r="G109" s="66">
        <f t="shared" si="3"/>
        <v>883000</v>
      </c>
      <c r="H109" s="65">
        <f t="shared" si="3"/>
        <v>1533000</v>
      </c>
      <c r="I109" s="67"/>
    </row>
    <row r="110" spans="2:9" s="49" customFormat="1" ht="12.75">
      <c r="B110" s="14"/>
      <c r="C110" s="14">
        <v>92695</v>
      </c>
      <c r="D110" s="14"/>
      <c r="E110" s="17" t="s">
        <v>34</v>
      </c>
      <c r="F110" s="57">
        <f t="shared" si="3"/>
        <v>650000</v>
      </c>
      <c r="G110" s="226">
        <f t="shared" si="3"/>
        <v>883000</v>
      </c>
      <c r="H110" s="57">
        <f t="shared" si="3"/>
        <v>1533000</v>
      </c>
      <c r="I110" s="59"/>
    </row>
    <row r="111" spans="2:9" s="49" customFormat="1" ht="25.5">
      <c r="B111" s="14"/>
      <c r="C111" s="27"/>
      <c r="D111" s="27">
        <v>6050</v>
      </c>
      <c r="E111" s="28" t="s">
        <v>44</v>
      </c>
      <c r="F111" s="388">
        <f>SUM(F112:F113)</f>
        <v>650000</v>
      </c>
      <c r="G111" s="389">
        <f>SUM(G112:G113)</f>
        <v>883000</v>
      </c>
      <c r="H111" s="388">
        <f>SUM(H112:H113)</f>
        <v>1533000</v>
      </c>
      <c r="I111" s="59"/>
    </row>
    <row r="112" spans="2:9" s="49" customFormat="1" ht="24">
      <c r="B112" s="14"/>
      <c r="C112" s="27"/>
      <c r="D112" s="27"/>
      <c r="E112" s="28"/>
      <c r="F112" s="42">
        <v>50000</v>
      </c>
      <c r="G112" s="390"/>
      <c r="H112" s="62">
        <f>F112+G112</f>
        <v>50000</v>
      </c>
      <c r="I112" s="59" t="s">
        <v>229</v>
      </c>
    </row>
    <row r="113" spans="2:9" s="49" customFormat="1" ht="12.75">
      <c r="B113" s="14"/>
      <c r="C113" s="27"/>
      <c r="D113" s="27"/>
      <c r="E113" s="28"/>
      <c r="F113" s="42">
        <v>600000</v>
      </c>
      <c r="G113" s="390">
        <v>883000</v>
      </c>
      <c r="H113" s="62">
        <f>F113+G113</f>
        <v>1483000</v>
      </c>
      <c r="I113" s="59" t="s">
        <v>249</v>
      </c>
    </row>
    <row r="114" spans="2:9" s="49" customFormat="1" ht="12.75">
      <c r="B114" s="86"/>
      <c r="C114" s="87"/>
      <c r="D114" s="87"/>
      <c r="E114" s="88" t="s">
        <v>79</v>
      </c>
      <c r="F114" s="89">
        <f>F7+F19+F29+F43+F58+F61+F99+F92+F109</f>
        <v>2002693</v>
      </c>
      <c r="G114" s="264">
        <f>G7+G19+G29+G43+G58+G61+G99+G92+G109</f>
        <v>1319788</v>
      </c>
      <c r="H114" s="89">
        <f>H7+H19+H29+H43+H58+H61+H99+H92+H109</f>
        <v>3322481</v>
      </c>
      <c r="I114" s="90"/>
    </row>
    <row r="115" spans="6:9" s="49" customFormat="1" ht="12.75">
      <c r="F115" s="91"/>
      <c r="G115" s="92"/>
      <c r="H115" s="91"/>
      <c r="I115" s="93"/>
    </row>
    <row r="116" spans="5:9" s="49" customFormat="1" ht="15.75">
      <c r="E116" s="94"/>
      <c r="F116" s="95"/>
      <c r="G116" s="391"/>
      <c r="H116" s="95"/>
      <c r="I116" s="93"/>
    </row>
    <row r="117" spans="4:9" s="49" customFormat="1" ht="12.75">
      <c r="D117" s="96"/>
      <c r="E117" s="91"/>
      <c r="G117" s="392"/>
      <c r="I117" s="97"/>
    </row>
    <row r="118" spans="7:9" s="49" customFormat="1" ht="12.75">
      <c r="G118" s="392"/>
      <c r="I118" s="97"/>
    </row>
    <row r="119" spans="5:9" s="49" customFormat="1" ht="12.75">
      <c r="E119" s="91"/>
      <c r="F119" s="91"/>
      <c r="G119" s="92"/>
      <c r="H119" s="91"/>
      <c r="I119" s="97"/>
    </row>
    <row r="120" spans="6:9" s="49" customFormat="1" ht="12.75">
      <c r="F120" s="91"/>
      <c r="G120" s="92"/>
      <c r="H120" s="91"/>
      <c r="I120" s="97"/>
    </row>
    <row r="121" spans="6:9" s="49" customFormat="1" ht="12.75">
      <c r="F121" s="91"/>
      <c r="G121" s="92"/>
      <c r="H121" s="91"/>
      <c r="I121" s="97"/>
    </row>
    <row r="122" spans="6:9" s="49" customFormat="1" ht="12.75">
      <c r="F122" s="91"/>
      <c r="G122" s="92"/>
      <c r="H122" s="91"/>
      <c r="I122" s="97"/>
    </row>
    <row r="123" spans="6:9" s="49" customFormat="1" ht="12.75">
      <c r="F123" s="91"/>
      <c r="G123" s="92"/>
      <c r="H123" s="91"/>
      <c r="I123" s="97"/>
    </row>
    <row r="124" spans="6:9" s="49" customFormat="1" ht="12.75">
      <c r="F124" s="91"/>
      <c r="G124" s="92"/>
      <c r="H124" s="91"/>
      <c r="I124" s="97"/>
    </row>
    <row r="125" spans="6:9" s="49" customFormat="1" ht="12.75">
      <c r="F125" s="91"/>
      <c r="G125" s="92"/>
      <c r="H125" s="91"/>
      <c r="I125" s="97"/>
    </row>
    <row r="126" spans="6:9" s="49" customFormat="1" ht="12.75">
      <c r="F126" s="91"/>
      <c r="G126" s="92"/>
      <c r="H126" s="91"/>
      <c r="I126" s="97"/>
    </row>
    <row r="127" spans="7:9" s="49" customFormat="1" ht="12.75">
      <c r="G127" s="392"/>
      <c r="I127" s="97"/>
    </row>
    <row r="128" spans="7:9" s="49" customFormat="1" ht="12.75">
      <c r="G128" s="392"/>
      <c r="I128" s="97"/>
    </row>
  </sheetData>
  <sheetProtection/>
  <mergeCells count="9">
    <mergeCell ref="H3:H4"/>
    <mergeCell ref="I3:I4"/>
    <mergeCell ref="I24:I25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U62"/>
  <sheetViews>
    <sheetView zoomScale="150" zoomScaleNormal="150" zoomScalePageLayoutView="0" workbookViewId="0" topLeftCell="C23">
      <selection activeCell="B3" sqref="B3:U57"/>
    </sheetView>
  </sheetViews>
  <sheetFormatPr defaultColWidth="9.140625" defaultRowHeight="12.75"/>
  <cols>
    <col min="1" max="1" width="6.00390625" style="396" customWidth="1"/>
    <col min="2" max="2" width="2.7109375" style="393" customWidth="1"/>
    <col min="3" max="3" width="26.140625" style="396" customWidth="1"/>
    <col min="4" max="4" width="6.57421875" style="396" customWidth="1"/>
    <col min="5" max="6" width="8.28125" style="396" customWidth="1"/>
    <col min="7" max="7" width="7.421875" style="396" customWidth="1"/>
    <col min="8" max="8" width="8.140625" style="396" customWidth="1"/>
    <col min="9" max="9" width="7.28125" style="396" customWidth="1"/>
    <col min="10" max="10" width="7.57421875" style="396" customWidth="1"/>
    <col min="11" max="11" width="6.57421875" style="396" bestFit="1" customWidth="1"/>
    <col min="12" max="12" width="4.140625" style="396" customWidth="1"/>
    <col min="13" max="13" width="6.140625" style="396" customWidth="1"/>
    <col min="14" max="14" width="7.57421875" style="396" customWidth="1"/>
    <col min="15" max="15" width="7.421875" style="396" customWidth="1"/>
    <col min="16" max="16" width="6.7109375" style="396" customWidth="1"/>
    <col min="17" max="18" width="8.57421875" style="396" bestFit="1" customWidth="1"/>
    <col min="19" max="19" width="7.57421875" style="396" customWidth="1"/>
    <col min="20" max="21" width="6.57421875" style="396" customWidth="1"/>
    <col min="22" max="16384" width="9.140625" style="396" customWidth="1"/>
  </cols>
  <sheetData>
    <row r="3" spans="3:21" ht="30" customHeight="1">
      <c r="C3" s="394" t="s">
        <v>424</v>
      </c>
      <c r="D3" s="395"/>
      <c r="E3" s="395"/>
      <c r="F3" s="395"/>
      <c r="R3" s="485" t="s">
        <v>425</v>
      </c>
      <c r="S3" s="485"/>
      <c r="T3" s="485"/>
      <c r="U3" s="485"/>
    </row>
    <row r="4" spans="3:6" ht="12.75">
      <c r="C4" s="397"/>
      <c r="D4" s="395"/>
      <c r="E4" s="395"/>
      <c r="F4" s="395"/>
    </row>
    <row r="5" spans="2:21" ht="15" customHeight="1">
      <c r="B5" s="510" t="s">
        <v>426</v>
      </c>
      <c r="C5" s="510" t="s">
        <v>427</v>
      </c>
      <c r="D5" s="515" t="s">
        <v>428</v>
      </c>
      <c r="E5" s="518" t="s">
        <v>429</v>
      </c>
      <c r="F5" s="519"/>
      <c r="G5" s="519"/>
      <c r="H5" s="519"/>
      <c r="I5" s="520"/>
      <c r="J5" s="521" t="s">
        <v>430</v>
      </c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3"/>
    </row>
    <row r="6" spans="2:21" ht="8.25" customHeight="1">
      <c r="B6" s="511"/>
      <c r="C6" s="513"/>
      <c r="D6" s="516"/>
      <c r="E6" s="524" t="s">
        <v>431</v>
      </c>
      <c r="F6" s="398"/>
      <c r="G6" s="510" t="s">
        <v>432</v>
      </c>
      <c r="H6" s="510" t="s">
        <v>433</v>
      </c>
      <c r="I6" s="510" t="s">
        <v>434</v>
      </c>
      <c r="J6" s="509">
        <v>2009</v>
      </c>
      <c r="K6" s="509"/>
      <c r="L6" s="509"/>
      <c r="M6" s="509"/>
      <c r="N6" s="509">
        <v>2010</v>
      </c>
      <c r="O6" s="509"/>
      <c r="P6" s="509"/>
      <c r="Q6" s="509"/>
      <c r="R6" s="509">
        <v>2011</v>
      </c>
      <c r="S6" s="509"/>
      <c r="T6" s="509"/>
      <c r="U6" s="509"/>
    </row>
    <row r="7" spans="2:21" ht="29.25">
      <c r="B7" s="512"/>
      <c r="C7" s="514"/>
      <c r="D7" s="517"/>
      <c r="E7" s="525"/>
      <c r="F7" s="400" t="s">
        <v>435</v>
      </c>
      <c r="G7" s="526"/>
      <c r="H7" s="526"/>
      <c r="I7" s="527"/>
      <c r="J7" s="402" t="s">
        <v>436</v>
      </c>
      <c r="K7" s="402" t="s">
        <v>437</v>
      </c>
      <c r="L7" s="403" t="s">
        <v>438</v>
      </c>
      <c r="M7" s="402" t="s">
        <v>439</v>
      </c>
      <c r="N7" s="402" t="s">
        <v>436</v>
      </c>
      <c r="O7" s="402" t="s">
        <v>437</v>
      </c>
      <c r="P7" s="403" t="s">
        <v>438</v>
      </c>
      <c r="Q7" s="402" t="s">
        <v>439</v>
      </c>
      <c r="R7" s="402" t="s">
        <v>436</v>
      </c>
      <c r="S7" s="402" t="s">
        <v>437</v>
      </c>
      <c r="T7" s="403" t="s">
        <v>438</v>
      </c>
      <c r="U7" s="402" t="s">
        <v>439</v>
      </c>
    </row>
    <row r="8" spans="2:21" ht="9.75">
      <c r="B8" s="404" t="s">
        <v>440</v>
      </c>
      <c r="C8" s="405" t="s">
        <v>441</v>
      </c>
      <c r="D8" s="406" t="s">
        <v>442</v>
      </c>
      <c r="E8" s="407">
        <v>3055000</v>
      </c>
      <c r="F8" s="408">
        <v>61000</v>
      </c>
      <c r="G8" s="409">
        <v>74000</v>
      </c>
      <c r="H8" s="408">
        <v>2920000</v>
      </c>
      <c r="I8" s="408">
        <v>0</v>
      </c>
      <c r="J8" s="408">
        <v>74000</v>
      </c>
      <c r="K8" s="410">
        <v>0</v>
      </c>
      <c r="L8" s="408">
        <v>0</v>
      </c>
      <c r="N8" s="408">
        <v>420000</v>
      </c>
      <c r="O8" s="408">
        <v>0</v>
      </c>
      <c r="P8" s="408">
        <v>0</v>
      </c>
      <c r="Q8" s="408">
        <v>2500000</v>
      </c>
      <c r="R8" s="408">
        <v>0</v>
      </c>
      <c r="S8" s="408">
        <v>0</v>
      </c>
      <c r="T8" s="408">
        <v>0</v>
      </c>
      <c r="U8" s="408">
        <v>0</v>
      </c>
    </row>
    <row r="9" spans="2:21" ht="12.75" hidden="1">
      <c r="B9" s="502" t="s">
        <v>443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4"/>
    </row>
    <row r="10" spans="2:21" ht="17.25">
      <c r="B10" s="411" t="s">
        <v>444</v>
      </c>
      <c r="C10" s="402" t="s">
        <v>445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</row>
    <row r="11" spans="2:21" ht="13.5" customHeight="1">
      <c r="B11" s="413" t="s">
        <v>446</v>
      </c>
      <c r="C11" s="414" t="s">
        <v>447</v>
      </c>
      <c r="D11" s="401" t="s">
        <v>448</v>
      </c>
      <c r="E11" s="415">
        <v>235000</v>
      </c>
      <c r="F11" s="416">
        <v>160000</v>
      </c>
      <c r="G11" s="416">
        <v>75000</v>
      </c>
      <c r="H11" s="416">
        <v>0</v>
      </c>
      <c r="I11" s="416">
        <v>0</v>
      </c>
      <c r="J11" s="416">
        <v>75000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</row>
    <row r="12" spans="2:21" ht="16.5" customHeight="1">
      <c r="B12" s="399" t="s">
        <v>449</v>
      </c>
      <c r="C12" s="402" t="s">
        <v>450</v>
      </c>
      <c r="D12" s="417" t="s">
        <v>451</v>
      </c>
      <c r="E12" s="418">
        <v>350000</v>
      </c>
      <c r="F12" s="419">
        <v>115000</v>
      </c>
      <c r="G12" s="419">
        <v>20000</v>
      </c>
      <c r="H12" s="419">
        <v>30000</v>
      </c>
      <c r="I12" s="419">
        <v>50000</v>
      </c>
      <c r="J12" s="419">
        <v>20000</v>
      </c>
      <c r="K12" s="419">
        <v>0</v>
      </c>
      <c r="L12" s="419">
        <v>0</v>
      </c>
      <c r="M12" s="419">
        <v>0</v>
      </c>
      <c r="N12" s="419">
        <v>30000</v>
      </c>
      <c r="O12" s="419">
        <v>0</v>
      </c>
      <c r="P12" s="419">
        <v>0</v>
      </c>
      <c r="Q12" s="419">
        <v>0</v>
      </c>
      <c r="R12" s="419">
        <v>50000</v>
      </c>
      <c r="S12" s="419">
        <v>0</v>
      </c>
      <c r="T12" s="419">
        <v>0</v>
      </c>
      <c r="U12" s="419">
        <v>0</v>
      </c>
    </row>
    <row r="13" spans="2:21" ht="17.25">
      <c r="B13" s="399" t="s">
        <v>452</v>
      </c>
      <c r="C13" s="402" t="s">
        <v>453</v>
      </c>
      <c r="D13" s="417" t="s">
        <v>454</v>
      </c>
      <c r="E13" s="419">
        <v>130842.2</v>
      </c>
      <c r="F13" s="419">
        <v>32549.2</v>
      </c>
      <c r="G13" s="419">
        <v>19293</v>
      </c>
      <c r="H13" s="419">
        <v>79000</v>
      </c>
      <c r="I13" s="419">
        <v>0</v>
      </c>
      <c r="J13" s="419">
        <v>19293</v>
      </c>
      <c r="K13" s="419">
        <v>0</v>
      </c>
      <c r="L13" s="419">
        <v>0</v>
      </c>
      <c r="M13" s="419">
        <v>0</v>
      </c>
      <c r="N13" s="419">
        <v>79000</v>
      </c>
      <c r="O13" s="419">
        <v>0</v>
      </c>
      <c r="P13" s="419">
        <v>0</v>
      </c>
      <c r="Q13" s="419">
        <v>0</v>
      </c>
      <c r="R13" s="419">
        <v>0</v>
      </c>
      <c r="S13" s="419">
        <v>0</v>
      </c>
      <c r="T13" s="419">
        <v>0</v>
      </c>
      <c r="U13" s="419">
        <v>0</v>
      </c>
    </row>
    <row r="14" spans="2:21" ht="17.25">
      <c r="B14" s="404" t="s">
        <v>455</v>
      </c>
      <c r="C14" s="405" t="s">
        <v>456</v>
      </c>
      <c r="D14" s="406" t="s">
        <v>457</v>
      </c>
      <c r="E14" s="407">
        <v>660000</v>
      </c>
      <c r="F14" s="408">
        <v>195293.92</v>
      </c>
      <c r="G14" s="408">
        <v>0</v>
      </c>
      <c r="H14" s="408">
        <v>236706.08</v>
      </c>
      <c r="I14" s="408">
        <v>228000</v>
      </c>
      <c r="J14" s="408">
        <v>0</v>
      </c>
      <c r="K14" s="408">
        <v>0</v>
      </c>
      <c r="L14" s="408">
        <v>0</v>
      </c>
      <c r="M14" s="408">
        <v>0</v>
      </c>
      <c r="N14" s="408">
        <v>236706.08</v>
      </c>
      <c r="O14" s="408">
        <v>0</v>
      </c>
      <c r="P14" s="408">
        <v>0</v>
      </c>
      <c r="Q14" s="408">
        <v>0</v>
      </c>
      <c r="R14" s="408">
        <v>228000</v>
      </c>
      <c r="S14" s="408">
        <v>0</v>
      </c>
      <c r="T14" s="408">
        <v>0</v>
      </c>
      <c r="U14" s="408">
        <v>0</v>
      </c>
    </row>
    <row r="15" spans="2:21" ht="12.75" hidden="1">
      <c r="B15" s="502" t="s">
        <v>458</v>
      </c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4"/>
    </row>
    <row r="16" spans="2:21" ht="17.25" customHeight="1">
      <c r="B16" s="399" t="s">
        <v>459</v>
      </c>
      <c r="C16" s="402" t="s">
        <v>460</v>
      </c>
      <c r="D16" s="417" t="s">
        <v>448</v>
      </c>
      <c r="E16" s="418">
        <v>90000</v>
      </c>
      <c r="F16" s="419">
        <v>50000</v>
      </c>
      <c r="G16" s="419">
        <v>40000</v>
      </c>
      <c r="H16" s="419">
        <v>0</v>
      </c>
      <c r="I16" s="419">
        <v>0</v>
      </c>
      <c r="J16" s="419">
        <v>40000</v>
      </c>
      <c r="K16" s="419">
        <v>0</v>
      </c>
      <c r="L16" s="419">
        <v>0</v>
      </c>
      <c r="M16" s="419">
        <v>0</v>
      </c>
      <c r="N16" s="419">
        <v>0</v>
      </c>
      <c r="O16" s="419">
        <v>0</v>
      </c>
      <c r="P16" s="419">
        <v>0</v>
      </c>
      <c r="Q16" s="419">
        <v>0</v>
      </c>
      <c r="R16" s="419">
        <v>0</v>
      </c>
      <c r="S16" s="419">
        <v>0</v>
      </c>
      <c r="T16" s="419">
        <v>0</v>
      </c>
      <c r="U16" s="419">
        <v>0</v>
      </c>
    </row>
    <row r="17" spans="2:21" ht="9.75">
      <c r="B17" s="399" t="s">
        <v>461</v>
      </c>
      <c r="C17" s="402" t="s">
        <v>462</v>
      </c>
      <c r="D17" s="417" t="s">
        <v>442</v>
      </c>
      <c r="E17" s="419">
        <v>80000</v>
      </c>
      <c r="F17" s="419">
        <v>24000</v>
      </c>
      <c r="G17" s="419">
        <v>10000</v>
      </c>
      <c r="H17" s="419">
        <v>46000</v>
      </c>
      <c r="I17" s="419">
        <v>0</v>
      </c>
      <c r="J17" s="419">
        <v>10000</v>
      </c>
      <c r="K17" s="419">
        <v>0</v>
      </c>
      <c r="L17" s="419">
        <v>0</v>
      </c>
      <c r="M17" s="419">
        <v>0</v>
      </c>
      <c r="N17" s="419">
        <v>46000</v>
      </c>
      <c r="O17" s="419">
        <v>0</v>
      </c>
      <c r="P17" s="419">
        <v>0</v>
      </c>
      <c r="Q17" s="419">
        <v>0</v>
      </c>
      <c r="R17" s="419">
        <v>0</v>
      </c>
      <c r="S17" s="419">
        <v>0</v>
      </c>
      <c r="T17" s="419">
        <v>0</v>
      </c>
      <c r="U17" s="419">
        <v>0</v>
      </c>
    </row>
    <row r="18" spans="2:21" ht="9.75">
      <c r="B18" s="399" t="s">
        <v>463</v>
      </c>
      <c r="C18" s="402" t="s">
        <v>464</v>
      </c>
      <c r="D18" s="417" t="s">
        <v>442</v>
      </c>
      <c r="E18" s="418">
        <v>140000</v>
      </c>
      <c r="F18" s="419">
        <v>9600</v>
      </c>
      <c r="G18" s="419">
        <v>30400</v>
      </c>
      <c r="H18" s="419">
        <v>100000</v>
      </c>
      <c r="I18" s="419">
        <v>0</v>
      </c>
      <c r="J18" s="419">
        <v>30400</v>
      </c>
      <c r="K18" s="419">
        <v>0</v>
      </c>
      <c r="L18" s="419">
        <v>0</v>
      </c>
      <c r="M18" s="419">
        <v>0</v>
      </c>
      <c r="N18" s="419">
        <v>100000</v>
      </c>
      <c r="O18" s="419">
        <v>0</v>
      </c>
      <c r="P18" s="419">
        <v>0</v>
      </c>
      <c r="Q18" s="419">
        <v>0</v>
      </c>
      <c r="R18" s="419">
        <v>0</v>
      </c>
      <c r="S18" s="419">
        <v>0</v>
      </c>
      <c r="T18" s="419">
        <v>0</v>
      </c>
      <c r="U18" s="419">
        <v>0</v>
      </c>
    </row>
    <row r="19" spans="2:21" ht="17.25">
      <c r="B19" s="399" t="s">
        <v>465</v>
      </c>
      <c r="C19" s="402" t="s">
        <v>220</v>
      </c>
      <c r="D19" s="417" t="s">
        <v>466</v>
      </c>
      <c r="E19" s="418">
        <v>110000</v>
      </c>
      <c r="F19" s="419">
        <v>20000</v>
      </c>
      <c r="G19" s="419">
        <v>90000</v>
      </c>
      <c r="H19" s="419">
        <v>0</v>
      </c>
      <c r="I19" s="419">
        <v>0</v>
      </c>
      <c r="J19" s="419">
        <v>90000</v>
      </c>
      <c r="K19" s="419">
        <v>0</v>
      </c>
      <c r="L19" s="419">
        <v>0</v>
      </c>
      <c r="M19" s="419">
        <v>0</v>
      </c>
      <c r="N19" s="419">
        <v>0</v>
      </c>
      <c r="O19" s="419">
        <v>0</v>
      </c>
      <c r="P19" s="419">
        <v>0</v>
      </c>
      <c r="Q19" s="419">
        <v>0</v>
      </c>
      <c r="R19" s="419">
        <v>0</v>
      </c>
      <c r="S19" s="419">
        <v>0</v>
      </c>
      <c r="T19" s="419">
        <v>0</v>
      </c>
      <c r="U19" s="419">
        <v>0</v>
      </c>
    </row>
    <row r="20" spans="2:21" ht="12.75" hidden="1">
      <c r="B20" s="500" t="s">
        <v>467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</row>
    <row r="21" spans="2:21" ht="25.5" customHeight="1">
      <c r="B21" s="399" t="s">
        <v>468</v>
      </c>
      <c r="C21" s="402" t="s">
        <v>469</v>
      </c>
      <c r="D21" s="417" t="s">
        <v>457</v>
      </c>
      <c r="E21" s="418">
        <v>16390400</v>
      </c>
      <c r="F21" s="419">
        <v>400909.94</v>
      </c>
      <c r="G21" s="419">
        <v>145000</v>
      </c>
      <c r="H21" s="419">
        <v>10317249.58</v>
      </c>
      <c r="I21" s="419">
        <v>5527240.48</v>
      </c>
      <c r="J21" s="419">
        <v>145000</v>
      </c>
      <c r="K21" s="419">
        <v>0</v>
      </c>
      <c r="L21" s="419">
        <v>0</v>
      </c>
      <c r="M21" s="419">
        <v>0</v>
      </c>
      <c r="N21" s="419">
        <v>2951100</v>
      </c>
      <c r="O21" s="419">
        <f>H21-N21</f>
        <v>7366149.58</v>
      </c>
      <c r="P21" s="419">
        <v>0</v>
      </c>
      <c r="Q21" s="419">
        <v>0</v>
      </c>
      <c r="R21" s="419">
        <f>I21-S21</f>
        <v>3412240.4800000004</v>
      </c>
      <c r="S21" s="419">
        <v>2115000</v>
      </c>
      <c r="T21" s="419">
        <v>0</v>
      </c>
      <c r="U21" s="419">
        <v>0</v>
      </c>
    </row>
    <row r="22" spans="2:21" ht="21" customHeight="1" hidden="1">
      <c r="B22" s="505" t="s">
        <v>470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</row>
    <row r="23" spans="2:21" ht="14.25" customHeight="1">
      <c r="B23" s="502" t="s">
        <v>471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8"/>
    </row>
    <row r="24" spans="2:21" ht="17.25">
      <c r="B24" s="413" t="s">
        <v>472</v>
      </c>
      <c r="C24" s="414" t="s">
        <v>473</v>
      </c>
      <c r="D24" s="401" t="s">
        <v>474</v>
      </c>
      <c r="E24" s="415">
        <v>3700000</v>
      </c>
      <c r="F24" s="416">
        <v>0</v>
      </c>
      <c r="G24" s="416">
        <v>0</v>
      </c>
      <c r="H24" s="416">
        <v>0</v>
      </c>
      <c r="I24" s="416">
        <v>130000</v>
      </c>
      <c r="J24" s="416">
        <v>0</v>
      </c>
      <c r="K24" s="416">
        <v>0</v>
      </c>
      <c r="L24" s="416">
        <v>0</v>
      </c>
      <c r="M24" s="416">
        <v>0</v>
      </c>
      <c r="N24" s="416">
        <v>0</v>
      </c>
      <c r="O24" s="416">
        <v>0</v>
      </c>
      <c r="P24" s="416">
        <v>0</v>
      </c>
      <c r="Q24" s="416">
        <v>0</v>
      </c>
      <c r="R24" s="416">
        <v>130000</v>
      </c>
      <c r="S24" s="416">
        <v>0</v>
      </c>
      <c r="T24" s="416">
        <v>0</v>
      </c>
      <c r="U24" s="416">
        <v>0</v>
      </c>
    </row>
    <row r="25" spans="2:21" ht="11.25" customHeight="1">
      <c r="B25" s="399" t="s">
        <v>475</v>
      </c>
      <c r="C25" s="402" t="s">
        <v>476</v>
      </c>
      <c r="D25" s="417" t="s">
        <v>477</v>
      </c>
      <c r="E25" s="420">
        <v>1800000</v>
      </c>
      <c r="F25" s="421">
        <v>40000</v>
      </c>
      <c r="G25" s="419">
        <v>74000</v>
      </c>
      <c r="H25" s="419">
        <v>1686000</v>
      </c>
      <c r="I25" s="419"/>
      <c r="J25" s="419">
        <v>74000</v>
      </c>
      <c r="K25" s="419"/>
      <c r="L25" s="419">
        <v>0</v>
      </c>
      <c r="M25" s="419">
        <v>0</v>
      </c>
      <c r="N25" s="419">
        <f>H25-O25</f>
        <v>1186000</v>
      </c>
      <c r="O25" s="419">
        <v>500000</v>
      </c>
      <c r="P25" s="419">
        <v>0</v>
      </c>
      <c r="Q25" s="419">
        <v>0</v>
      </c>
      <c r="R25" s="419">
        <v>0</v>
      </c>
      <c r="S25" s="419">
        <v>0</v>
      </c>
      <c r="T25" s="419">
        <v>0</v>
      </c>
      <c r="U25" s="419">
        <v>0</v>
      </c>
    </row>
    <row r="26" spans="2:21" ht="12.75" hidden="1">
      <c r="B26" s="500" t="s">
        <v>478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</row>
    <row r="27" spans="2:21" ht="18.75" customHeight="1">
      <c r="B27" s="399" t="s">
        <v>479</v>
      </c>
      <c r="C27" s="402" t="s">
        <v>480</v>
      </c>
      <c r="D27" s="417">
        <v>2010</v>
      </c>
      <c r="E27" s="418">
        <v>1200000</v>
      </c>
      <c r="F27" s="419">
        <v>0</v>
      </c>
      <c r="G27" s="419">
        <v>0</v>
      </c>
      <c r="H27" s="419">
        <v>1200000</v>
      </c>
      <c r="I27" s="419">
        <v>0</v>
      </c>
      <c r="J27" s="419">
        <v>0</v>
      </c>
      <c r="K27" s="419">
        <v>0</v>
      </c>
      <c r="L27" s="419">
        <v>0</v>
      </c>
      <c r="M27" s="419">
        <v>0</v>
      </c>
      <c r="N27" s="419">
        <v>700000</v>
      </c>
      <c r="O27" s="419">
        <v>500000</v>
      </c>
      <c r="P27" s="419">
        <v>0</v>
      </c>
      <c r="Q27" s="419">
        <v>0</v>
      </c>
      <c r="R27" s="419">
        <v>0</v>
      </c>
      <c r="S27" s="419">
        <v>0</v>
      </c>
      <c r="T27" s="419">
        <v>0</v>
      </c>
      <c r="U27" s="419">
        <v>0</v>
      </c>
    </row>
    <row r="28" spans="2:21" ht="17.25">
      <c r="B28" s="399" t="s">
        <v>481</v>
      </c>
      <c r="C28" s="402" t="s">
        <v>482</v>
      </c>
      <c r="D28" s="417">
        <v>2011</v>
      </c>
      <c r="E28" s="418">
        <v>1200000</v>
      </c>
      <c r="F28" s="419">
        <v>0</v>
      </c>
      <c r="G28" s="419">
        <v>0</v>
      </c>
      <c r="H28" s="419">
        <v>0</v>
      </c>
      <c r="I28" s="419">
        <v>1200000</v>
      </c>
      <c r="J28" s="419">
        <v>0</v>
      </c>
      <c r="K28" s="419">
        <v>0</v>
      </c>
      <c r="L28" s="419">
        <v>0</v>
      </c>
      <c r="M28" s="419">
        <v>0</v>
      </c>
      <c r="N28" s="419">
        <v>0</v>
      </c>
      <c r="O28" s="419">
        <v>0</v>
      </c>
      <c r="P28" s="419">
        <v>0</v>
      </c>
      <c r="Q28" s="419">
        <v>0</v>
      </c>
      <c r="R28" s="419">
        <v>700000</v>
      </c>
      <c r="S28" s="419">
        <v>500000</v>
      </c>
      <c r="T28" s="419">
        <v>0</v>
      </c>
      <c r="U28" s="419">
        <v>0</v>
      </c>
    </row>
    <row r="29" spans="2:21" ht="15.75" customHeight="1">
      <c r="B29" s="399" t="s">
        <v>483</v>
      </c>
      <c r="C29" s="402" t="s">
        <v>484</v>
      </c>
      <c r="D29" s="422">
        <v>2010</v>
      </c>
      <c r="E29" s="423">
        <v>280000</v>
      </c>
      <c r="F29" s="424">
        <v>0</v>
      </c>
      <c r="G29" s="419">
        <v>0</v>
      </c>
      <c r="H29" s="419">
        <v>280000</v>
      </c>
      <c r="I29" s="419">
        <v>0</v>
      </c>
      <c r="J29" s="419">
        <v>0</v>
      </c>
      <c r="K29" s="419">
        <v>0</v>
      </c>
      <c r="L29" s="419">
        <v>0</v>
      </c>
      <c r="M29" s="419">
        <v>0</v>
      </c>
      <c r="N29" s="419">
        <v>230000</v>
      </c>
      <c r="O29" s="419">
        <v>0</v>
      </c>
      <c r="P29" s="419">
        <v>0</v>
      </c>
      <c r="Q29" s="419">
        <v>50000</v>
      </c>
      <c r="R29" s="419">
        <v>0</v>
      </c>
      <c r="S29" s="419">
        <v>0</v>
      </c>
      <c r="T29" s="419">
        <v>0</v>
      </c>
      <c r="U29" s="419">
        <v>0</v>
      </c>
    </row>
    <row r="30" spans="2:21" ht="15.75" customHeight="1" hidden="1">
      <c r="B30" s="500" t="s">
        <v>485</v>
      </c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</row>
    <row r="31" spans="2:21" ht="17.25">
      <c r="B31" s="399" t="s">
        <v>486</v>
      </c>
      <c r="C31" s="402" t="s">
        <v>487</v>
      </c>
      <c r="D31" s="417">
        <v>2011</v>
      </c>
      <c r="E31" s="418">
        <v>340000</v>
      </c>
      <c r="F31" s="419">
        <v>0</v>
      </c>
      <c r="G31" s="419">
        <v>0</v>
      </c>
      <c r="H31" s="419">
        <v>0</v>
      </c>
      <c r="I31" s="419">
        <v>340000</v>
      </c>
      <c r="J31" s="419">
        <v>0</v>
      </c>
      <c r="K31" s="419">
        <v>0</v>
      </c>
      <c r="L31" s="419">
        <v>0</v>
      </c>
      <c r="M31" s="419">
        <v>0</v>
      </c>
      <c r="N31" s="419">
        <v>0</v>
      </c>
      <c r="O31" s="419">
        <v>0</v>
      </c>
      <c r="P31" s="419">
        <v>0</v>
      </c>
      <c r="Q31" s="419">
        <v>0</v>
      </c>
      <c r="R31" s="419">
        <v>280000</v>
      </c>
      <c r="S31" s="419">
        <v>0</v>
      </c>
      <c r="T31" s="419">
        <v>0</v>
      </c>
      <c r="U31" s="419">
        <v>60000</v>
      </c>
    </row>
    <row r="32" spans="2:21" ht="15.75" customHeight="1" hidden="1">
      <c r="B32" s="500" t="s">
        <v>488</v>
      </c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3" spans="2:21" ht="9.75">
      <c r="B33" s="399" t="s">
        <v>489</v>
      </c>
      <c r="C33" s="402" t="s">
        <v>490</v>
      </c>
      <c r="D33" s="417" t="s">
        <v>491</v>
      </c>
      <c r="E33" s="418">
        <v>510000</v>
      </c>
      <c r="F33" s="419">
        <v>257762.2</v>
      </c>
      <c r="G33" s="419">
        <v>0</v>
      </c>
      <c r="H33" s="419">
        <v>252237.8</v>
      </c>
      <c r="I33" s="419">
        <v>0</v>
      </c>
      <c r="J33" s="419">
        <v>0</v>
      </c>
      <c r="K33" s="419">
        <v>0</v>
      </c>
      <c r="L33" s="419">
        <v>0</v>
      </c>
      <c r="M33" s="419">
        <v>0</v>
      </c>
      <c r="N33" s="419">
        <v>252237.8</v>
      </c>
      <c r="O33" s="419">
        <v>0</v>
      </c>
      <c r="P33" s="419">
        <v>0</v>
      </c>
      <c r="Q33" s="419">
        <v>0</v>
      </c>
      <c r="R33" s="419">
        <v>0</v>
      </c>
      <c r="S33" s="419">
        <v>0</v>
      </c>
      <c r="T33" s="419">
        <v>0</v>
      </c>
      <c r="U33" s="419">
        <v>0</v>
      </c>
    </row>
    <row r="34" spans="2:21" ht="15.75" customHeight="1" hidden="1">
      <c r="B34" s="500" t="s">
        <v>492</v>
      </c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</row>
    <row r="35" spans="2:21" ht="17.25">
      <c r="B35" s="399" t="s">
        <v>493</v>
      </c>
      <c r="C35" s="402" t="s">
        <v>494</v>
      </c>
      <c r="D35" s="417">
        <v>2011</v>
      </c>
      <c r="E35" s="418">
        <v>460000</v>
      </c>
      <c r="F35" s="419">
        <v>0</v>
      </c>
      <c r="G35" s="419">
        <v>0</v>
      </c>
      <c r="H35" s="419">
        <v>0</v>
      </c>
      <c r="I35" s="419">
        <v>460000</v>
      </c>
      <c r="J35" s="419">
        <v>0</v>
      </c>
      <c r="K35" s="419">
        <v>0</v>
      </c>
      <c r="L35" s="419">
        <v>0</v>
      </c>
      <c r="M35" s="419">
        <v>0</v>
      </c>
      <c r="N35" s="419">
        <v>0</v>
      </c>
      <c r="O35" s="419">
        <v>0</v>
      </c>
      <c r="P35" s="419">
        <v>0</v>
      </c>
      <c r="Q35" s="419">
        <v>0</v>
      </c>
      <c r="R35" s="419">
        <v>310000</v>
      </c>
      <c r="S35" s="419">
        <v>0</v>
      </c>
      <c r="T35" s="419">
        <v>0</v>
      </c>
      <c r="U35" s="419">
        <v>150000</v>
      </c>
    </row>
    <row r="36" spans="2:21" ht="9.75">
      <c r="B36" s="399" t="s">
        <v>495</v>
      </c>
      <c r="C36" s="402" t="s">
        <v>496</v>
      </c>
      <c r="D36" s="417" t="s">
        <v>497</v>
      </c>
      <c r="E36" s="418">
        <v>720000</v>
      </c>
      <c r="F36" s="419">
        <v>0</v>
      </c>
      <c r="G36" s="419">
        <v>0</v>
      </c>
      <c r="H36" s="419">
        <v>320000</v>
      </c>
      <c r="I36" s="419">
        <v>400000</v>
      </c>
      <c r="J36" s="419">
        <v>0</v>
      </c>
      <c r="K36" s="419">
        <v>0</v>
      </c>
      <c r="L36" s="419">
        <v>0</v>
      </c>
      <c r="M36" s="425">
        <v>0</v>
      </c>
      <c r="N36" s="419">
        <v>64000</v>
      </c>
      <c r="O36" s="419">
        <v>0</v>
      </c>
      <c r="P36" s="419">
        <v>256000</v>
      </c>
      <c r="Q36" s="419">
        <v>0</v>
      </c>
      <c r="R36" s="419">
        <v>80000</v>
      </c>
      <c r="S36" s="419">
        <v>0</v>
      </c>
      <c r="T36" s="419">
        <v>320000</v>
      </c>
      <c r="U36" s="419">
        <v>0</v>
      </c>
    </row>
    <row r="37" spans="2:21" ht="15.75" customHeight="1" hidden="1">
      <c r="B37" s="500" t="s">
        <v>498</v>
      </c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</row>
    <row r="38" spans="2:21" ht="9.75">
      <c r="B38" s="399" t="s">
        <v>499</v>
      </c>
      <c r="C38" s="402" t="s">
        <v>500</v>
      </c>
      <c r="D38" s="417">
        <v>2011</v>
      </c>
      <c r="E38" s="418">
        <v>250000</v>
      </c>
      <c r="F38" s="419">
        <v>0</v>
      </c>
      <c r="G38" s="419">
        <v>0</v>
      </c>
      <c r="H38" s="419">
        <v>0</v>
      </c>
      <c r="I38" s="419">
        <v>250000</v>
      </c>
      <c r="J38" s="419">
        <v>0</v>
      </c>
      <c r="K38" s="419">
        <v>0</v>
      </c>
      <c r="L38" s="419">
        <v>0</v>
      </c>
      <c r="M38" s="419">
        <v>0</v>
      </c>
      <c r="N38" s="419">
        <v>0</v>
      </c>
      <c r="O38" s="419">
        <v>0</v>
      </c>
      <c r="P38" s="419">
        <v>0</v>
      </c>
      <c r="Q38" s="419">
        <v>0</v>
      </c>
      <c r="R38" s="419">
        <v>50000</v>
      </c>
      <c r="S38" s="419">
        <v>0</v>
      </c>
      <c r="T38" s="419">
        <v>200000</v>
      </c>
      <c r="U38" s="419">
        <v>0</v>
      </c>
    </row>
    <row r="39" spans="2:21" ht="9.75">
      <c r="B39" s="399" t="s">
        <v>501</v>
      </c>
      <c r="C39" s="402" t="s">
        <v>502</v>
      </c>
      <c r="D39" s="417" t="s">
        <v>491</v>
      </c>
      <c r="E39" s="418">
        <v>130000</v>
      </c>
      <c r="F39" s="419">
        <v>7500</v>
      </c>
      <c r="G39" s="419">
        <v>30000</v>
      </c>
      <c r="H39" s="419">
        <v>92500</v>
      </c>
      <c r="I39" s="419">
        <v>0</v>
      </c>
      <c r="J39" s="419">
        <v>30000</v>
      </c>
      <c r="K39" s="419">
        <v>0</v>
      </c>
      <c r="L39" s="419">
        <v>0</v>
      </c>
      <c r="M39" s="419">
        <v>0</v>
      </c>
      <c r="N39" s="419">
        <v>52500</v>
      </c>
      <c r="O39" s="419">
        <v>0</v>
      </c>
      <c r="P39" s="419">
        <v>0</v>
      </c>
      <c r="Q39" s="419">
        <v>40000</v>
      </c>
      <c r="R39" s="419">
        <v>0</v>
      </c>
      <c r="S39" s="419">
        <v>0</v>
      </c>
      <c r="T39" s="419">
        <v>0</v>
      </c>
      <c r="U39" s="419">
        <v>0</v>
      </c>
    </row>
    <row r="40" spans="2:21" ht="15.75" customHeight="1" hidden="1">
      <c r="B40" s="500" t="s">
        <v>503</v>
      </c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</row>
    <row r="41" spans="2:21" ht="17.25">
      <c r="B41" s="399" t="s">
        <v>504</v>
      </c>
      <c r="C41" s="402" t="s">
        <v>505</v>
      </c>
      <c r="D41" s="417" t="s">
        <v>506</v>
      </c>
      <c r="E41" s="418">
        <v>350000</v>
      </c>
      <c r="F41" s="419">
        <v>0</v>
      </c>
      <c r="G41" s="419">
        <v>25000</v>
      </c>
      <c r="H41" s="419">
        <v>325000</v>
      </c>
      <c r="I41" s="419">
        <v>0</v>
      </c>
      <c r="J41" s="419">
        <v>25000</v>
      </c>
      <c r="K41" s="419">
        <v>0</v>
      </c>
      <c r="L41" s="419">
        <v>0</v>
      </c>
      <c r="M41" s="419">
        <v>0</v>
      </c>
      <c r="N41" s="419">
        <v>225000</v>
      </c>
      <c r="O41" s="419">
        <v>0</v>
      </c>
      <c r="P41" s="419">
        <v>0</v>
      </c>
      <c r="Q41" s="419">
        <v>100000</v>
      </c>
      <c r="R41" s="419">
        <v>0</v>
      </c>
      <c r="S41" s="419">
        <v>0</v>
      </c>
      <c r="T41" s="419">
        <v>0</v>
      </c>
      <c r="U41" s="419">
        <v>0</v>
      </c>
    </row>
    <row r="42" spans="2:21" ht="17.25" hidden="1">
      <c r="B42" s="399"/>
      <c r="C42" s="402" t="s">
        <v>507</v>
      </c>
      <c r="D42" s="417" t="s">
        <v>497</v>
      </c>
      <c r="E42" s="418"/>
      <c r="F42" s="418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</row>
    <row r="43" spans="2:21" ht="12.75" hidden="1">
      <c r="B43" s="500" t="s">
        <v>508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</row>
    <row r="44" spans="2:21" ht="33" customHeight="1">
      <c r="B44" s="399" t="s">
        <v>509</v>
      </c>
      <c r="C44" s="402" t="s">
        <v>510</v>
      </c>
      <c r="D44" s="417" t="s">
        <v>457</v>
      </c>
      <c r="E44" s="420">
        <v>500000</v>
      </c>
      <c r="F44" s="421">
        <v>59274</v>
      </c>
      <c r="G44" s="419">
        <v>20000</v>
      </c>
      <c r="H44" s="419">
        <v>180000</v>
      </c>
      <c r="I44" s="419">
        <v>240726</v>
      </c>
      <c r="J44" s="419">
        <v>20000</v>
      </c>
      <c r="K44" s="419">
        <v>0</v>
      </c>
      <c r="L44" s="419">
        <v>0</v>
      </c>
      <c r="M44" s="419">
        <v>0</v>
      </c>
      <c r="N44" s="419">
        <v>180000</v>
      </c>
      <c r="O44" s="419">
        <v>0</v>
      </c>
      <c r="P44" s="419">
        <v>0</v>
      </c>
      <c r="Q44" s="419">
        <v>0</v>
      </c>
      <c r="R44" s="419">
        <v>240726</v>
      </c>
      <c r="S44" s="419">
        <v>0</v>
      </c>
      <c r="T44" s="419">
        <v>0</v>
      </c>
      <c r="U44" s="419">
        <v>0</v>
      </c>
    </row>
    <row r="45" spans="2:21" ht="15.75" customHeight="1" hidden="1">
      <c r="B45" s="500" t="s">
        <v>511</v>
      </c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</row>
    <row r="46" spans="2:21" ht="17.25">
      <c r="B46" s="399" t="s">
        <v>512</v>
      </c>
      <c r="C46" s="402" t="s">
        <v>513</v>
      </c>
      <c r="D46" s="417" t="s">
        <v>514</v>
      </c>
      <c r="E46" s="418">
        <v>450000</v>
      </c>
      <c r="F46" s="419">
        <v>0</v>
      </c>
      <c r="G46" s="419">
        <v>50000</v>
      </c>
      <c r="H46" s="419">
        <v>200000</v>
      </c>
      <c r="I46" s="419">
        <v>200000</v>
      </c>
      <c r="J46" s="419">
        <v>50000</v>
      </c>
      <c r="K46" s="419">
        <v>0</v>
      </c>
      <c r="L46" s="419">
        <v>0</v>
      </c>
      <c r="M46" s="419">
        <v>0</v>
      </c>
      <c r="N46" s="419">
        <v>100000</v>
      </c>
      <c r="O46" s="419">
        <v>0</v>
      </c>
      <c r="P46" s="419">
        <v>0</v>
      </c>
      <c r="Q46" s="419">
        <v>100000</v>
      </c>
      <c r="R46" s="419">
        <v>200000</v>
      </c>
      <c r="S46" s="419">
        <v>0</v>
      </c>
      <c r="T46" s="419">
        <v>0</v>
      </c>
      <c r="U46" s="419">
        <v>0</v>
      </c>
    </row>
    <row r="47" spans="2:21" ht="18.75" customHeight="1">
      <c r="B47" s="399" t="s">
        <v>515</v>
      </c>
      <c r="C47" s="402" t="s">
        <v>249</v>
      </c>
      <c r="D47" s="417" t="s">
        <v>466</v>
      </c>
      <c r="E47" s="418">
        <v>1524815.87</v>
      </c>
      <c r="F47" s="419">
        <v>41815.87</v>
      </c>
      <c r="G47" s="419">
        <v>1483000</v>
      </c>
      <c r="H47" s="419">
        <v>0</v>
      </c>
      <c r="I47" s="419">
        <v>0</v>
      </c>
      <c r="J47" s="419">
        <v>1150000</v>
      </c>
      <c r="K47" s="419">
        <v>0</v>
      </c>
      <c r="L47" s="419">
        <v>0</v>
      </c>
      <c r="M47" s="419">
        <v>333000</v>
      </c>
      <c r="N47" s="419">
        <v>0</v>
      </c>
      <c r="O47" s="419">
        <v>0</v>
      </c>
      <c r="P47" s="419">
        <v>0</v>
      </c>
      <c r="Q47" s="419">
        <v>0</v>
      </c>
      <c r="R47" s="419">
        <v>0</v>
      </c>
      <c r="S47" s="419">
        <v>0</v>
      </c>
      <c r="T47" s="419">
        <v>0</v>
      </c>
      <c r="U47" s="419">
        <v>0</v>
      </c>
    </row>
    <row r="48" spans="2:21" ht="15.75" customHeight="1" hidden="1">
      <c r="B48" s="500" t="s">
        <v>516</v>
      </c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</row>
    <row r="49" spans="2:21" ht="9.75">
      <c r="B49" s="399" t="s">
        <v>517</v>
      </c>
      <c r="C49" s="402" t="s">
        <v>518</v>
      </c>
      <c r="D49" s="417" t="s">
        <v>519</v>
      </c>
      <c r="E49" s="418">
        <v>55000</v>
      </c>
      <c r="F49" s="419">
        <v>0</v>
      </c>
      <c r="G49" s="419">
        <v>0</v>
      </c>
      <c r="H49" s="419">
        <v>0</v>
      </c>
      <c r="I49" s="419">
        <v>50000</v>
      </c>
      <c r="J49" s="419">
        <v>0</v>
      </c>
      <c r="K49" s="419">
        <v>0</v>
      </c>
      <c r="L49" s="419">
        <v>0</v>
      </c>
      <c r="M49" s="419">
        <v>0</v>
      </c>
      <c r="N49" s="419">
        <v>0</v>
      </c>
      <c r="O49" s="419">
        <v>0</v>
      </c>
      <c r="P49" s="419">
        <v>0</v>
      </c>
      <c r="Q49" s="419">
        <v>0</v>
      </c>
      <c r="R49" s="419">
        <v>50000</v>
      </c>
      <c r="S49" s="419">
        <v>0</v>
      </c>
      <c r="T49" s="419">
        <v>0</v>
      </c>
      <c r="U49" s="419">
        <v>0</v>
      </c>
    </row>
    <row r="50" spans="2:21" ht="9.75">
      <c r="B50" s="399" t="s">
        <v>520</v>
      </c>
      <c r="C50" s="402" t="s">
        <v>222</v>
      </c>
      <c r="D50" s="417" t="s">
        <v>521</v>
      </c>
      <c r="E50" s="418">
        <v>600000</v>
      </c>
      <c r="F50" s="419">
        <v>30000</v>
      </c>
      <c r="G50" s="419">
        <v>40000</v>
      </c>
      <c r="H50" s="419">
        <v>530000</v>
      </c>
      <c r="I50" s="419">
        <v>0</v>
      </c>
      <c r="J50" s="419">
        <v>40000</v>
      </c>
      <c r="K50" s="419">
        <v>0</v>
      </c>
      <c r="L50" s="419">
        <v>0</v>
      </c>
      <c r="M50" s="419">
        <v>0</v>
      </c>
      <c r="N50" s="419">
        <v>530000</v>
      </c>
      <c r="O50" s="419">
        <v>0</v>
      </c>
      <c r="P50" s="419">
        <v>0</v>
      </c>
      <c r="Q50" s="419">
        <v>0</v>
      </c>
      <c r="R50" s="419">
        <v>0</v>
      </c>
      <c r="S50" s="419">
        <v>0</v>
      </c>
      <c r="T50" s="419">
        <v>0</v>
      </c>
      <c r="U50" s="419">
        <v>0</v>
      </c>
    </row>
    <row r="51" spans="2:21" ht="17.25">
      <c r="B51" s="399" t="s">
        <v>522</v>
      </c>
      <c r="C51" s="402" t="s">
        <v>223</v>
      </c>
      <c r="D51" s="417" t="s">
        <v>491</v>
      </c>
      <c r="E51" s="418">
        <v>500000</v>
      </c>
      <c r="F51" s="419">
        <v>49500</v>
      </c>
      <c r="G51" s="419">
        <v>100000</v>
      </c>
      <c r="H51" s="419">
        <v>350500</v>
      </c>
      <c r="I51" s="419">
        <v>0</v>
      </c>
      <c r="J51" s="419">
        <v>100000</v>
      </c>
      <c r="K51" s="419">
        <v>0</v>
      </c>
      <c r="L51" s="419">
        <v>0</v>
      </c>
      <c r="M51" s="419">
        <v>0</v>
      </c>
      <c r="N51" s="419">
        <v>350500</v>
      </c>
      <c r="O51" s="419">
        <v>0</v>
      </c>
      <c r="P51" s="419">
        <v>0</v>
      </c>
      <c r="Q51" s="419">
        <v>0</v>
      </c>
      <c r="R51" s="419">
        <v>0</v>
      </c>
      <c r="S51" s="419">
        <v>0</v>
      </c>
      <c r="T51" s="419">
        <v>0</v>
      </c>
      <c r="U51" s="419">
        <v>0</v>
      </c>
    </row>
    <row r="52" spans="2:21" ht="15.75" customHeight="1" hidden="1">
      <c r="B52" s="500" t="s">
        <v>503</v>
      </c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</row>
    <row r="53" spans="2:21" ht="17.25">
      <c r="B53" s="399" t="s">
        <v>523</v>
      </c>
      <c r="C53" s="402" t="s">
        <v>524</v>
      </c>
      <c r="D53" s="417" t="s">
        <v>491</v>
      </c>
      <c r="E53" s="418">
        <v>135000</v>
      </c>
      <c r="F53" s="419">
        <v>7015</v>
      </c>
      <c r="G53" s="419">
        <v>10000</v>
      </c>
      <c r="H53" s="419">
        <v>117985</v>
      </c>
      <c r="I53" s="419">
        <v>0</v>
      </c>
      <c r="J53" s="419">
        <v>10000</v>
      </c>
      <c r="K53" s="419">
        <v>0</v>
      </c>
      <c r="L53" s="419">
        <v>0</v>
      </c>
      <c r="M53" s="419">
        <v>0</v>
      </c>
      <c r="N53" s="419">
        <v>117000</v>
      </c>
      <c r="O53" s="419">
        <v>0</v>
      </c>
      <c r="P53" s="419">
        <v>0</v>
      </c>
      <c r="Q53" s="419">
        <v>0</v>
      </c>
      <c r="R53" s="419">
        <v>0</v>
      </c>
      <c r="S53" s="419">
        <v>0</v>
      </c>
      <c r="T53" s="419">
        <v>0</v>
      </c>
      <c r="U53" s="419">
        <v>0</v>
      </c>
    </row>
    <row r="54" spans="2:21" ht="10.5" customHeight="1">
      <c r="B54" s="399" t="s">
        <v>525</v>
      </c>
      <c r="C54" s="402" t="s">
        <v>526</v>
      </c>
      <c r="D54" s="417" t="s">
        <v>466</v>
      </c>
      <c r="E54" s="418">
        <v>150000</v>
      </c>
      <c r="F54" s="419">
        <v>100000</v>
      </c>
      <c r="G54" s="419">
        <v>50000</v>
      </c>
      <c r="H54" s="419">
        <v>0</v>
      </c>
      <c r="I54" s="419">
        <v>0</v>
      </c>
      <c r="J54" s="419">
        <v>50000</v>
      </c>
      <c r="K54" s="419">
        <v>0</v>
      </c>
      <c r="L54" s="419">
        <v>0</v>
      </c>
      <c r="M54" s="419">
        <v>0</v>
      </c>
      <c r="N54" s="419">
        <v>0</v>
      </c>
      <c r="O54" s="419">
        <v>0</v>
      </c>
      <c r="P54" s="419">
        <v>0</v>
      </c>
      <c r="Q54" s="419">
        <v>0</v>
      </c>
      <c r="R54" s="419">
        <v>0</v>
      </c>
      <c r="S54" s="419">
        <v>0</v>
      </c>
      <c r="T54" s="419">
        <v>0</v>
      </c>
      <c r="U54" s="419">
        <v>0</v>
      </c>
    </row>
    <row r="55" spans="2:21" ht="31.5" customHeight="1">
      <c r="B55" s="399" t="s">
        <v>527</v>
      </c>
      <c r="C55" s="402" t="s">
        <v>528</v>
      </c>
      <c r="D55" s="417" t="s">
        <v>466</v>
      </c>
      <c r="E55" s="418">
        <v>218072.01</v>
      </c>
      <c r="F55" s="419">
        <v>7072.01</v>
      </c>
      <c r="G55" s="419">
        <f>(E55-F55)</f>
        <v>211000</v>
      </c>
      <c r="H55" s="419">
        <v>0</v>
      </c>
      <c r="I55" s="419">
        <v>0</v>
      </c>
      <c r="J55" s="419">
        <v>47445.99</v>
      </c>
      <c r="K55" s="419">
        <v>163554.01</v>
      </c>
      <c r="L55" s="419">
        <v>0</v>
      </c>
      <c r="M55" s="419">
        <v>0</v>
      </c>
      <c r="N55" s="419">
        <v>0</v>
      </c>
      <c r="O55" s="419">
        <v>0</v>
      </c>
      <c r="P55" s="419">
        <v>0</v>
      </c>
      <c r="Q55" s="419">
        <v>0</v>
      </c>
      <c r="R55" s="419">
        <v>0</v>
      </c>
      <c r="S55" s="419">
        <v>0</v>
      </c>
      <c r="T55" s="419">
        <v>0</v>
      </c>
      <c r="U55" s="419">
        <v>0</v>
      </c>
    </row>
    <row r="56" spans="2:21" ht="13.5" customHeight="1">
      <c r="B56" s="497" t="s">
        <v>529</v>
      </c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9"/>
    </row>
    <row r="57" spans="4:21" ht="12.75" customHeight="1">
      <c r="D57" s="426"/>
      <c r="E57" s="416">
        <f aca="true" t="shared" si="0" ref="E57:K57">SUM(E8:E55)</f>
        <v>36314130.08</v>
      </c>
      <c r="F57" s="416">
        <f t="shared" si="0"/>
        <v>1668292.1400000001</v>
      </c>
      <c r="G57" s="416">
        <f t="shared" si="0"/>
        <v>2596693</v>
      </c>
      <c r="H57" s="416">
        <f t="shared" si="0"/>
        <v>19263178.46</v>
      </c>
      <c r="I57" s="416">
        <f t="shared" si="0"/>
        <v>9075966.48</v>
      </c>
      <c r="J57" s="427">
        <f t="shared" si="0"/>
        <v>2100138.99</v>
      </c>
      <c r="K57" s="427">
        <f t="shared" si="0"/>
        <v>163554.01</v>
      </c>
      <c r="L57" s="427">
        <f aca="true" t="shared" si="1" ref="L57:S57">SUM(L8:L54)</f>
        <v>0</v>
      </c>
      <c r="M57" s="427">
        <f t="shared" si="1"/>
        <v>333000</v>
      </c>
      <c r="N57" s="427">
        <f t="shared" si="1"/>
        <v>7850043.88</v>
      </c>
      <c r="O57" s="427">
        <f t="shared" si="1"/>
        <v>8366149.58</v>
      </c>
      <c r="P57" s="427">
        <f t="shared" si="1"/>
        <v>256000</v>
      </c>
      <c r="Q57" s="427">
        <f t="shared" si="1"/>
        <v>2790000</v>
      </c>
      <c r="R57" s="427">
        <f t="shared" si="1"/>
        <v>5730966.48</v>
      </c>
      <c r="S57" s="427">
        <f t="shared" si="1"/>
        <v>2615000</v>
      </c>
      <c r="T57" s="427">
        <f>SUM(T19:T51)</f>
        <v>520000</v>
      </c>
      <c r="U57" s="427">
        <f>SUM(U19:U51)</f>
        <v>210000</v>
      </c>
    </row>
    <row r="58" spans="4:9" ht="9.75">
      <c r="D58" s="426"/>
      <c r="E58" s="426"/>
      <c r="F58" s="426"/>
      <c r="G58" s="428"/>
      <c r="H58" s="428"/>
      <c r="I58" s="428"/>
    </row>
    <row r="59" spans="4:9" ht="9.75">
      <c r="D59" s="426"/>
      <c r="E59" s="426"/>
      <c r="F59" s="426"/>
      <c r="G59" s="428"/>
      <c r="H59" s="428"/>
      <c r="I59" s="428"/>
    </row>
    <row r="60" spans="4:9" ht="9.75">
      <c r="D60" s="426"/>
      <c r="E60" s="426"/>
      <c r="F60" s="426"/>
      <c r="G60" s="428"/>
      <c r="H60" s="428"/>
      <c r="I60" s="428"/>
    </row>
    <row r="61" spans="4:9" ht="9.75">
      <c r="D61" s="426"/>
      <c r="E61" s="426"/>
      <c r="F61" s="426"/>
      <c r="G61" s="426"/>
      <c r="H61" s="426"/>
      <c r="I61" s="426"/>
    </row>
    <row r="62" spans="4:9" ht="9.75">
      <c r="D62" s="426"/>
      <c r="E62" s="426"/>
      <c r="F62" s="426"/>
      <c r="G62" s="426"/>
      <c r="H62" s="426"/>
      <c r="I62" s="426"/>
    </row>
  </sheetData>
  <sheetProtection/>
  <mergeCells count="29">
    <mergeCell ref="R3:U3"/>
    <mergeCell ref="B5:B7"/>
    <mergeCell ref="C5:C7"/>
    <mergeCell ref="D5:D7"/>
    <mergeCell ref="E5:I5"/>
    <mergeCell ref="J5:U5"/>
    <mergeCell ref="E6:E7"/>
    <mergeCell ref="G6:G7"/>
    <mergeCell ref="H6:H7"/>
    <mergeCell ref="I6:I7"/>
    <mergeCell ref="J6:M6"/>
    <mergeCell ref="N6:Q6"/>
    <mergeCell ref="R6:U6"/>
    <mergeCell ref="B9:U9"/>
    <mergeCell ref="B15:U15"/>
    <mergeCell ref="B20:U20"/>
    <mergeCell ref="B22:U22"/>
    <mergeCell ref="B23:U23"/>
    <mergeCell ref="B26:U26"/>
    <mergeCell ref="B30:U30"/>
    <mergeCell ref="B32:U32"/>
    <mergeCell ref="B34:U34"/>
    <mergeCell ref="B56:U56"/>
    <mergeCell ref="B37:U37"/>
    <mergeCell ref="B40:U40"/>
    <mergeCell ref="B43:U43"/>
    <mergeCell ref="B45:U45"/>
    <mergeCell ref="B48:U48"/>
    <mergeCell ref="B52:U5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Asia</cp:lastModifiedBy>
  <cp:lastPrinted>2009-03-27T06:52:26Z</cp:lastPrinted>
  <dcterms:created xsi:type="dcterms:W3CDTF">2007-07-24T12:50:32Z</dcterms:created>
  <dcterms:modified xsi:type="dcterms:W3CDTF">2009-03-27T06:52:27Z</dcterms:modified>
  <cp:category/>
  <cp:version/>
  <cp:contentType/>
  <cp:contentStatus/>
</cp:coreProperties>
</file>