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tabRatio="743" firstSheet="6" activeTab="13"/>
  </bookViews>
  <sheets>
    <sheet name="Strona tyt." sheetId="1" r:id="rId1"/>
    <sheet name="Zał.nr 1" sheetId="2" r:id="rId2"/>
    <sheet name="Zał.nr 2" sheetId="3" r:id="rId3"/>
    <sheet name="Wydatki opis" sheetId="4" r:id="rId4"/>
    <sheet name="Zał.nr 3" sheetId="5" r:id="rId5"/>
    <sheet name="Zał.nr 4" sheetId="6" r:id="rId6"/>
    <sheet name="Zał.nr 5" sheetId="7" r:id="rId7"/>
    <sheet name="Inwestycje opis" sheetId="8" r:id="rId8"/>
    <sheet name="Zbiorówka zał.nr 6" sheetId="9" r:id="rId9"/>
    <sheet name="Zał.nr 6" sheetId="10" r:id="rId10"/>
    <sheet name="Zał.nr 7 ZUK" sheetId="11" r:id="rId11"/>
    <sheet name="Należ i zobow. Zał.nr 8 " sheetId="12" r:id="rId12"/>
    <sheet name="Zał. nr 9 Biblioteka" sheetId="13" r:id="rId13"/>
    <sheet name="Zał.nr 10 GOK" sheetId="14" r:id="rId14"/>
  </sheets>
  <externalReferences>
    <externalReference r:id="rId17"/>
    <externalReference r:id="rId18"/>
  </externalReferences>
  <definedNames>
    <definedName name="_xlnm.Print_Titles" localSheetId="1">'Zał.nr 1'!$3:$5</definedName>
    <definedName name="_xlnm.Print_Titles" localSheetId="2">'Zał.nr 2'!$2:$4</definedName>
    <definedName name="_xlnm.Print_Titles" localSheetId="6">'Zał.nr 5'!$2:$4</definedName>
  </definedNames>
  <calcPr fullCalcOnLoad="1"/>
</workbook>
</file>

<file path=xl/sharedStrings.xml><?xml version="1.0" encoding="utf-8"?>
<sst xmlns="http://schemas.openxmlformats.org/spreadsheetml/2006/main" count="1764" uniqueCount="1130">
  <si>
    <r>
      <t xml:space="preserve">Liczba zezwoleń: * </t>
    </r>
    <r>
      <rPr>
        <b/>
        <sz val="8"/>
        <rFont val="Times New Roman CE"/>
        <family val="0"/>
      </rPr>
      <t>zezwolenie na sprzedaż i spożycie poza miejscem sprzedaży (sklepy )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29,</t>
    </r>
    <r>
      <rPr>
        <sz val="8"/>
        <rFont val="Times New Roman CE"/>
        <family val="0"/>
      </rPr>
      <t xml:space="preserve"> -4,5% - </t>
    </r>
    <r>
      <rPr>
        <b/>
        <sz val="8"/>
        <rFont val="Times New Roman CE"/>
        <family val="0"/>
      </rPr>
      <t xml:space="preserve">26, </t>
    </r>
    <r>
      <rPr>
        <sz val="8"/>
        <rFont val="Times New Roman CE"/>
        <family val="0"/>
      </rPr>
      <t xml:space="preserve">- pow.18% - </t>
    </r>
    <r>
      <rPr>
        <b/>
        <sz val="8"/>
        <rFont val="Times New Roman CE"/>
        <family val="0"/>
      </rPr>
      <t xml:space="preserve">18  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        * </t>
    </r>
    <r>
      <rPr>
        <b/>
        <sz val="8"/>
        <rFont val="Times New Roman CE"/>
        <family val="0"/>
      </rPr>
      <t>zezwolenie na sprzedaż i spożycie poza miejscem sprzedaży (gastronomia)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6,</t>
    </r>
    <r>
      <rPr>
        <sz val="8"/>
        <rFont val="Times New Roman CE"/>
        <family val="0"/>
      </rPr>
      <t xml:space="preserve">  -4,5% - </t>
    </r>
    <r>
      <rPr>
        <b/>
        <sz val="8"/>
        <rFont val="Times New Roman CE"/>
        <family val="0"/>
      </rPr>
      <t>3,</t>
    </r>
    <r>
      <rPr>
        <sz val="8"/>
        <rFont val="Times New Roman CE"/>
        <family val="0"/>
      </rPr>
      <t xml:space="preserve"> - pow.18% - </t>
    </r>
    <r>
      <rPr>
        <b/>
        <sz val="8"/>
        <rFont val="Times New Roman CE"/>
        <family val="0"/>
      </rPr>
      <t xml:space="preserve">4                                                                                                                                                    </t>
    </r>
    <r>
      <rPr>
        <sz val="8"/>
        <rFont val="Times New Roman CE"/>
        <family val="0"/>
      </rPr>
      <t xml:space="preserve"> * </t>
    </r>
    <r>
      <rPr>
        <b/>
        <sz val="8"/>
        <rFont val="Times New Roman CE"/>
        <family val="0"/>
      </rPr>
      <t>zezwolenia jednorazowe</t>
    </r>
    <r>
      <rPr>
        <sz val="8"/>
        <rFont val="Times New Roman CE"/>
        <family val="0"/>
      </rPr>
      <t xml:space="preserve">  - do 4,5% - </t>
    </r>
    <r>
      <rPr>
        <b/>
        <sz val="8"/>
        <rFont val="Times New Roman CE"/>
        <family val="0"/>
      </rPr>
      <t>0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*</t>
    </r>
    <r>
      <rPr>
        <b/>
        <sz val="8"/>
        <rFont val="Times New Roman CE"/>
        <family val="0"/>
      </rPr>
      <t xml:space="preserve"> katering</t>
    </r>
    <r>
      <rPr>
        <sz val="8"/>
        <rFont val="Times New Roman CE"/>
        <family val="0"/>
      </rPr>
      <t xml:space="preserve"> - do 4,5% - </t>
    </r>
    <r>
      <rPr>
        <b/>
        <sz val="8"/>
        <rFont val="Times New Roman CE"/>
        <family val="0"/>
      </rPr>
      <t>1,</t>
    </r>
    <r>
      <rPr>
        <sz val="8"/>
        <rFont val="Times New Roman CE"/>
        <family val="0"/>
      </rPr>
      <t xml:space="preserve">  -4,5% - </t>
    </r>
    <r>
      <rPr>
        <b/>
        <sz val="8"/>
        <rFont val="Times New Roman CE"/>
        <family val="0"/>
      </rPr>
      <t>1</t>
    </r>
  </si>
  <si>
    <t>DOCHODY</t>
  </si>
  <si>
    <t>DOCHODY OGÓŁEM</t>
  </si>
  <si>
    <t>·        § 4010,4040,4110,4120 obejmuje wynagrodzenia oraz pochodne od tych wynagrodzeń- 2 etaty,</t>
  </si>
  <si>
    <t>·        § 4210,4300,4430 wszelkie koszty związane z oczyszczaniem gminy: zakup pojemników i worków na śmieci, opłaty za składowanie odpadów, opłaty na rzecz ochrony środowiska,</t>
  </si>
  <si>
    <t>·        § 4440 odpisy na ZFŚS.</t>
  </si>
  <si>
    <t xml:space="preserve">·        § 4010,4040,4110,4120 obejmuje wynagrodzenia oraz pochodne od tych wynagrodzeń- 1 etat, </t>
  </si>
  <si>
    <t>·        § 4210 paliwo i części zamienne do kosiarek, zakup trawy i krzewów, kwietniki   na rynku, zakup kosiarki,</t>
  </si>
  <si>
    <t>·        § 4270 zakup usług remontowych,</t>
  </si>
  <si>
    <t>·        § 4010,4040,4110,4120 koszty wynagrodzeń i pochodnych tych wynagrodzeń dotyczące zatrudnienia 6 osób ( kierowcy, sprzątaczka, pracownicy fiz.),</t>
  </si>
  <si>
    <t>·        § 4210 paliwo i części do autobusów i traktorów, materiały biurowe,</t>
  </si>
  <si>
    <t>·        § 4270,4300 remonty pojazdów, opł. telekomunikacyjne,(wykonanie w paragrafie 4270 jest na poziomie 63,10 % - duża awaryjność pojazdów jest przyczyną tak wysokiego wykonania),</t>
  </si>
  <si>
    <t>·        § 4410 podróże służbowe pracowników,</t>
  </si>
  <si>
    <t>·        § 4430 opłaty środowiskowe, opłaty i składki dot. pojazdów,</t>
  </si>
  <si>
    <t>·        § 4530 podatek od towarów i usług VAT,</t>
  </si>
  <si>
    <t>Zał. nr 10</t>
  </si>
  <si>
    <t>Wykonanie planu przychodów i kosztów Gminnego Ośrodka Kultury w Kaźmierzu na dzień 30.06.2006 r.</t>
  </si>
  <si>
    <t xml:space="preserve">Projekt planu na 2006 r.                                </t>
  </si>
  <si>
    <t>Korekta 1                                 z dnia 7.11.2005 r.</t>
  </si>
  <si>
    <t>Korekta 2                       z dnia 20.12.2005 r.</t>
  </si>
  <si>
    <t>Plan na 2006 rok po zmianach</t>
  </si>
  <si>
    <t>Plan po zmianach</t>
  </si>
  <si>
    <t>Wykonanie planu na dzień 31.03.2006 r.</t>
  </si>
  <si>
    <t>Pozostało do wykorzystania na dzień 31.03.2006</t>
  </si>
  <si>
    <t>Wykonanie planu na dzień 30.06.2006 r.</t>
  </si>
  <si>
    <t>Dotacja na sfinansowanie wyprawki szkolnej (pisma Wojewody Wielkopolskiego z dn.20.06.2006r., znak FB.I-3.3011-380/06)</t>
  </si>
  <si>
    <t>Odsetki za nieterminowe wpłaty za przedszkole. Wpłaty za przedszkole w I półroczu były regulowane terminowo.</t>
  </si>
  <si>
    <t>Dochody z tytułu refundacji za wynagrodzenia dla pracownika z programu "Szwajcarski Zegarek"</t>
  </si>
  <si>
    <t>Środki z Europejskiego Funduszu Rozwoju Regionalnego na realizację projektu "Budowa gimnazjum wraz z salą gimnastyczną w Kaźmierzu" nr Z/2.30/III/3.5.1/346/04 (pismo z Wielkopolskiego Urzędu Wojewódzkiego, znak FB.II-3.33075-115/06 z dnia 19.05.2006r.)</t>
  </si>
  <si>
    <t>Dotacja celowa z budżetu państwa na realizację projektu "Budowa gimnazjum wraz z salą gimnastyczną w Kaźmierzu" nr Z/2.30/III/3.5.1/346/04 (pismo z Wojewody Wielkopolskiego, znak FB.I-6.3011-2/06 z dnia06.01.2006r.)</t>
  </si>
  <si>
    <t>Dotacja na świadczenia rodzinne oraz składki na ubezpieczenia emerytalne i rentowe z ubezpieczenia społecznego oraz na zaliczki alimentacyjne (pisma Wojewody Wielkopolskiego z dn. 21.10.2005r., znak FB.I-3.3010-78/05, 20.03.2006r., znak FB.I-6.3010-7/06)</t>
  </si>
  <si>
    <t>Dotacja na składki na ubezpieczenie zdrowotne (pisma Wojewody Wielkopolskiego z dn. 21.10.2005r., znak FB.I-3.3010-78/05, 20.03.2006r., znak FB.I-6.3010-7/06)</t>
  </si>
  <si>
    <t xml:space="preserve">Dotacja na zasiłki i pomoc w naturze oraz składki na ubezpieczenia społeczne (pisma Wojewody Wielkopolskiego z dnia 21.10.2005r., znak FB.I-3.3010-78/05, z dn.20.03..2006r., znak FB.I-6.3010-7/06). </t>
  </si>
  <si>
    <t xml:space="preserve">Dotacja na zasiłki i pomoc w naturze oraz składki na ubezpieczenia społeczne (pisma Wojewody Wielkopolskiego z dnia 21.10.2005r., znak FB.I-3.3010-78/05, z dn.20.03..2006r., znak FB.I-6.3010-7/06, z dnia 25.05.2006r., znak FB.I-3.3011-345/06). </t>
  </si>
  <si>
    <t xml:space="preserve">Dotacja na utrzymanie Gminnego Ośrodka Pomocy Społecznej (pisma Wojewody Wielkopolskiego z dnia 21.10.2005r., znak FB.I-3.3010-78/05, z dn.20.03..2006r., znak FB.I-6.3010-7/06, z dnia 14.04.2006r., znak FB.I-3.3011-254/06). </t>
  </si>
  <si>
    <t xml:space="preserve">Dotacja na dofinansowanie realizacji Programu wieloletniego "Pomoc państwa w zakresie dożywiania" (pisma Wojewody Wielkopolskiego z dnia 21.10.2005r., znak FB.I-3.3010-78/05, z dn.20.03..2006r., znak FB.I-6.3010-7/06, z dnia 10.05.2006r., znak FB.I-3.3011-311/06). </t>
  </si>
  <si>
    <t>Dotacja na pokrycie kosztów udzielania edukacyjnej pomocy stypendialnej dla uczniów o charakterze socjalnym, zgodnie z art..90d ustawy o systemie oświaty (pisma Wojewody Wielkopolskiego z  dn.10.03.2006r., znak FB.I-6.3011-185/05, z dn.05.05..2006r., znak FB.I-6.3011-284/06)</t>
  </si>
  <si>
    <t>Wpływy z opłaty produktowej. Kwota trudna do oszacowania.</t>
  </si>
  <si>
    <t>Opłaty za toalety publiczne</t>
  </si>
  <si>
    <r>
      <t>1.</t>
    </r>
    <r>
      <rPr>
        <sz val="12"/>
        <rFont val="Times New Roman"/>
        <family val="1"/>
      </rPr>
      <t xml:space="preserve"> Budżet gminy na 2006r uchwalony został 21 grudnia 2005 r.uchwałą Rady Gminy Kaźmierz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</si>
  <si>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</t>
    </r>
    <r>
      <rPr>
        <b/>
        <sz val="12"/>
        <rFont val="Times New Roman"/>
        <family val="1"/>
      </rPr>
      <t>17.825.130,00 zł</t>
    </r>
    <r>
      <rPr>
        <sz val="12"/>
        <rFont val="Times New Roman"/>
        <family val="1"/>
      </rPr>
      <t xml:space="preserve"> po stronie dochodów,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</si>
  <si>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</t>
    </r>
    <r>
      <rPr>
        <b/>
        <sz val="12"/>
        <rFont val="Times New Roman"/>
        <family val="1"/>
      </rPr>
      <t>18.700.565,00 zł</t>
    </r>
    <r>
      <rPr>
        <sz val="12"/>
        <rFont val="Times New Roman"/>
        <family val="1"/>
      </rPr>
      <t xml:space="preserve"> po stronie wydatków,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</si>
  <si>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  </t>
    </r>
    <r>
      <rPr>
        <b/>
        <sz val="12"/>
        <rFont val="Times New Roman"/>
        <family val="1"/>
      </rPr>
      <t>1.000.000,00 zł</t>
    </r>
    <r>
      <rPr>
        <sz val="12"/>
        <rFont val="Times New Roman"/>
        <family val="1"/>
      </rPr>
      <t xml:space="preserve"> po stronie przychodów,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</si>
  <si>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w kwocie        </t>
    </r>
    <r>
      <rPr>
        <b/>
        <sz val="12"/>
        <rFont val="Times New Roman"/>
        <family val="1"/>
      </rPr>
      <t>124.565,00 zł</t>
    </r>
    <r>
      <rPr>
        <sz val="12"/>
        <rFont val="Times New Roman"/>
        <family val="1"/>
      </rPr>
      <t xml:space="preserve"> po stronie rozchodów.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</si>
  <si>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dochody zwiększono o kwotę </t>
    </r>
  </si>
  <si>
    <r>
      <t xml:space="preserve">         </t>
    </r>
    <r>
      <rPr>
        <b/>
        <sz val="12"/>
        <rFont val="Times New Roman"/>
        <family val="1"/>
      </rPr>
      <t xml:space="preserve">4.962.009,00 zł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</si>
  <si>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wydatki zwiększono o kwotę </t>
    </r>
  </si>
  <si>
    <r>
      <t xml:space="preserve">         </t>
    </r>
    <r>
      <rPr>
        <b/>
        <sz val="12"/>
        <rFont val="Times New Roman"/>
        <family val="1"/>
      </rPr>
      <t xml:space="preserve">6.708.999,00 zł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</si>
  <si>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przychody zwiększono o kwotę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</si>
  <si>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rozchody zwiększono o kwotę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</si>
  <si>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dochodów zamykał się kwotą</t>
    </r>
  </si>
  <si>
    <r>
      <t xml:space="preserve">22.787.139,00 zł </t>
    </r>
    <r>
      <rPr>
        <sz val="12"/>
        <rFont val="Times New Roman"/>
        <family val="1"/>
      </rPr>
      <t>(Zał.nr 1)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</si>
  <si>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wydatków zamykał się kwotą</t>
    </r>
  </si>
  <si>
    <r>
      <t xml:space="preserve">25.409.564,00 zł </t>
    </r>
    <r>
      <rPr>
        <sz val="12"/>
        <rFont val="Times New Roman"/>
        <family val="1"/>
      </rPr>
      <t>(Zał.nr 2)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</si>
  <si>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przychodów zamykał się kwotą</t>
    </r>
  </si>
  <si>
    <r>
      <t xml:space="preserve">  </t>
    </r>
    <r>
      <rPr>
        <b/>
        <sz val="12"/>
        <rFont val="Times New Roman"/>
        <family val="1"/>
      </rPr>
      <t>9.771.263,00 zł</t>
    </r>
    <r>
      <rPr>
        <sz val="12"/>
        <rFont val="Times New Roman"/>
        <family val="1"/>
      </rPr>
      <t xml:space="preserve"> (Zał.nr 3)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</si>
  <si>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rozchodów zamykał się kwotą</t>
    </r>
  </si>
  <si>
    <r>
      <t xml:space="preserve">  7.148.838,00 zł </t>
    </r>
    <r>
      <rPr>
        <sz val="12"/>
        <rFont val="Times New Roman"/>
        <family val="1"/>
      </rPr>
      <t>(Zał.nr 3)</t>
    </r>
  </si>
  <si>
    <r>
      <t>10.683.466,15 zł</t>
    </r>
    <r>
      <rPr>
        <sz val="12"/>
        <rFont val="Times New Roman"/>
        <family val="1"/>
      </rPr>
      <t>, co stanowi 46,88% (Zał.nr 1)</t>
    </r>
  </si>
  <si>
    <r>
      <t>14.074.783,18 zł,</t>
    </r>
    <r>
      <rPr>
        <sz val="12"/>
        <rFont val="Times New Roman"/>
        <family val="1"/>
      </rPr>
      <t xml:space="preserve"> co stanowi 55,39% (Zał.nr 2)</t>
    </r>
  </si>
  <si>
    <r>
      <t xml:space="preserve">Wydatki    wykonano w wysokości               </t>
    </r>
    <r>
      <rPr>
        <b/>
        <sz val="12"/>
        <rFont val="Times New Roman"/>
        <family val="1"/>
      </rPr>
      <t>912,02 zł</t>
    </r>
  </si>
  <si>
    <r>
      <t>6.</t>
    </r>
    <r>
      <rPr>
        <sz val="12"/>
        <rFont val="Times New Roman"/>
        <family val="1"/>
      </rPr>
      <t xml:space="preserve"> Wydatki majątkowe zaplanowane w kwocie </t>
    </r>
    <r>
      <rPr>
        <b/>
        <sz val="12"/>
        <rFont val="Times New Roman"/>
        <family val="1"/>
      </rPr>
      <t>13.760.552,00 zł</t>
    </r>
    <r>
      <rPr>
        <sz val="12"/>
        <rFont val="Times New Roman"/>
        <family val="1"/>
      </rPr>
      <t xml:space="preserve"> zrealizowano w 58,97 %  (Zał.nr 5)</t>
    </r>
  </si>
  <si>
    <t>- zasiłki szkolne (3 świadczenia)</t>
  </si>
  <si>
    <t xml:space="preserve">1.      Trwają prace związane z projektem "Budowa gimnazjum wraz z salą gimnastyczną w Kaźmierzu" nr Z/2.30/III/3.5.1/346/04Zakończono realizację etapu 4 :Prace instalacyjne", w ramach którego wykonano instalacje: wod.-kan., elektryczne, c.o., wentylacyjne, techniczne, odgromowe oraz zainstalowano kotłownię gazową. Zakończono prace z zakresu etapu 5 "Prace wykonczeniowe", w ramach których wykonano: tynki wewnętrzne i okładziny ścian wewnętrznych, posadzki + biały montaż, elewacje, nawierzchnie, place, ogrodzenie oraz stolarkę wewnętrzną. Trwają prace z zakresu etapu 6 "Wyposażenie". Obiekt ma być oddany do uzytku 1 września 2006r.. </t>
  </si>
  <si>
    <r>
      <t>2.</t>
    </r>
    <r>
      <rPr>
        <sz val="7"/>
        <rFont val="Times New Roman"/>
        <family val="1"/>
      </rPr>
      <t xml:space="preserve">      </t>
    </r>
    <r>
      <rPr>
        <sz val="13"/>
        <color indexed="8"/>
        <rFont val="Times New Roman"/>
        <family val="1"/>
      </rPr>
      <t>Wykonano kolejny odcinek sieci wodociągowej wraz z przyłączami w rejonie ul.Polnej w Kaźmierzu (ul.Tujowa, Czeremchowa, Jaśminowa)</t>
    </r>
  </si>
  <si>
    <t>w I półroczu 2006 r.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</si>
  <si>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3"/>
        <rFont val="Times New Roman"/>
        <family val="1"/>
      </rPr>
      <t xml:space="preserve"> Zakupiono 4 zestawy sprzętu komputerowego, 1 monitor LCD 17 cali, 1 zasilacz APC UPS Back 500VA, 1 listwa zasilająca z filtrem ACAR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</si>
  <si>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3"/>
        <rFont val="Times New Roman"/>
        <family val="1"/>
      </rPr>
      <t>Energetyka Poznańska Zakład Oświetlenia Drogowego wykonał dokumentację projektową na budowę oświetlenia drogowego w Gaju Wielkim droga do  Grzebieniska (do budynku świetlicy), w Pólku ul.Klonowea, Bytyńska, Akacjowa i Jesionowa oraz w Kaźmierzu ul.Nowowiejska rej.bloków Spółdzielni Mieszkaniowej</t>
    </r>
  </si>
  <si>
    <t>6.    Wykonano opinie o wartości w formie operatów szacunkowych dla 86 działek położonych na terenie Gminy Kaźmierz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</si>
  <si>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Times New Roman"/>
        <family val="1"/>
      </rPr>
      <t>Zlecono wykonanie dokumentacji projektowej na budowę drogi gminnej Kaźmierz - Kopanina (odcinek ul.Wiśniowej) o nawierzchni bitumicznej . Długość projektowanej drogi 1,17 km, szerokość 4 m. Lokalizacja drogi: działka nr 44 obręb Kopanina, działka nr 865 obręb Kaźmierz. Gmina uzyskała dofinansowanie na budowę w/w drogi z Funduszu Ochrony Gruntów Rolnych (Urząd Marszałkowski Województwa Wielkopolskiego) w wysokości 40.200,00 PLN oraz z Urzędu Marszałkowskiego Województwa Wielkopolskiego w wysokości 30.000,00 PLN. Droga wykonana zostanie w II półroczu 2006 r.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</si>
  <si>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Times New Roman"/>
        <family val="1"/>
      </rPr>
      <t>Zlecono wykonanie aktualnego kosztorysu inwestorskiego i "ślepego" na budowę sieci wodociągowej do miejscowości Witkowice zgodnie z istniejącą dokumentacją projektową. Gmina uzyskała dofinansowanie z Agencji Nieruchomości Rolnej w Poznaniu w wysokości 200.000,00 PLN. Sieć wodociągowa od drogi krajowej nr 2 do miejscowości Witkowice wykonana zostanie w II półroczu 2006 r.</t>
    </r>
  </si>
  <si>
    <t>Struktura wydatków inwestycyjnych w I półroczu 2006 r.</t>
  </si>
  <si>
    <t>Realizacja w II półroczu 2006 r.</t>
  </si>
  <si>
    <r>
      <t xml:space="preserve">1. Sieć wodociągowa Młodasko - Bytyń </t>
    </r>
    <r>
      <rPr>
        <b/>
        <sz val="8"/>
        <rFont val="Times New Roman CE"/>
        <family val="1"/>
      </rPr>
      <t>131.258,06</t>
    </r>
    <r>
      <rPr>
        <sz val="8"/>
        <rFont val="Times New Roman CE"/>
        <family val="1"/>
      </rPr>
      <t xml:space="preserve"> (inwetycja zakonczona)                                                 2. Sieć wodociągowa rej.ul.Polnej- Reja </t>
    </r>
    <r>
      <rPr>
        <b/>
        <sz val="8"/>
        <rFont val="Times New Roman CE"/>
        <family val="1"/>
      </rPr>
      <t>20.675,49</t>
    </r>
    <r>
      <rPr>
        <sz val="8"/>
        <rFont val="Times New Roman CE"/>
        <family val="1"/>
      </rPr>
      <t xml:space="preserve"> (przewidywany koniec rok 2009)                                                                              </t>
    </r>
  </si>
  <si>
    <t>Wykup działek w  Radzynach nr 145/05, w Kaźmierzu  nr  54/11, 54/10, 66/1,66/8, 66/9, 54/13, 120/2, 1158, 1183, 1167, 1193, 1198 w Piersku nr 2/26, 2/41</t>
  </si>
  <si>
    <t>Zakup sprzętu komputerowego</t>
  </si>
  <si>
    <t>Dotacja na zakupy inwestycyjne realizowane przez jednostki OSP z terenu Gminy Kaźmierz</t>
  </si>
  <si>
    <t>Budowa gimnazjum wraz z salą gimnastyczną w Kaźmierzu</t>
  </si>
  <si>
    <t>Dokumentacja techniczna oświetlenia drogowego w m.Gaj Wielki, Pólko, Kaźmierz</t>
  </si>
  <si>
    <t>Plan dochodów/wydatków w 2006 r.</t>
  </si>
  <si>
    <t>Wykonanie dochodów/wydatków w I półroczu 2006 r.</t>
  </si>
  <si>
    <t>Zakup artykułów spożywczych, prowizja bankowe</t>
  </si>
  <si>
    <t>Zakup artykułów spożywczych, prowizji bankowych, zakup książek dla dzieci kl."0"</t>
  </si>
  <si>
    <t>Zakup artykułów spożywczych, wyposażenia kuchni, środków dydaktycznych,</t>
  </si>
  <si>
    <t>Zakup artykułów spożywczych,pomocy dydaktycznych</t>
  </si>
  <si>
    <t>Rozdział 90004 nie jest działem dochodowym, powyższe wykonanie wynika z udzielonych dotacji, które zostały wykorzystane na zakup sprzętu i materiałów do utrzymania zieleni.</t>
  </si>
  <si>
    <t>Planowane dochody z tytułu pozostałej działalności obejmują dowóz dzieci do szkół oraz prace ekipy wykonywane na rzecz innych podmiotów.</t>
  </si>
  <si>
    <t>WYDATKI ZUK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</si>
  <si>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</si>
  <si>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</si>
  <si>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</si>
  <si>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</si>
  <si>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</si>
  <si>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</si>
  <si>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</si>
  <si>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</si>
  <si>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</si>
  <si>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</si>
  <si>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</si>
  <si>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Koszty</t>
  </si>
  <si>
    <t>Zmiana nr 1</t>
  </si>
  <si>
    <t>% wykonania planu</t>
  </si>
  <si>
    <t>Pozostało do wykorzystania na dzień 31.03.2005</t>
  </si>
  <si>
    <t>Pozostało do wykorzystania na dzień 30.06.2005</t>
  </si>
  <si>
    <t>Materiały:</t>
  </si>
  <si>
    <t>środki czystości</t>
  </si>
  <si>
    <t>- koszty poniesione na środki czystości</t>
  </si>
  <si>
    <t>materiały biurowe</t>
  </si>
  <si>
    <t>WYDATKI MAJĄTKOWE GMINY KAŹMIERZ W 2006r.</t>
  </si>
  <si>
    <t>Plan na 2005r.</t>
  </si>
  <si>
    <t xml:space="preserve">Plan wydatków majątkowych na 2006r.  </t>
  </si>
  <si>
    <r>
      <t xml:space="preserve">Budowa sieci wodociągowych:Pólko </t>
    </r>
    <r>
      <rPr>
        <b/>
        <sz val="10"/>
        <rFont val="Times New Roman CE"/>
        <family val="0"/>
      </rPr>
      <t xml:space="preserve">15.250,00, </t>
    </r>
    <r>
      <rPr>
        <sz val="10"/>
        <rFont val="Times New Roman CE"/>
        <family val="1"/>
      </rPr>
      <t xml:space="preserve">Młodasko-Bytyń </t>
    </r>
    <r>
      <rPr>
        <b/>
        <sz val="10"/>
        <rFont val="Times New Roman CE"/>
        <family val="0"/>
      </rPr>
      <t>136.488,00</t>
    </r>
    <r>
      <rPr>
        <sz val="10"/>
        <rFont val="Times New Roman CE"/>
        <family val="1"/>
      </rPr>
      <t xml:space="preserve">, K-rz ul.Polna-Reja </t>
    </r>
    <r>
      <rPr>
        <b/>
        <sz val="10"/>
        <rFont val="Times New Roman CE"/>
        <family val="0"/>
      </rPr>
      <t>31.300,00</t>
    </r>
    <r>
      <rPr>
        <sz val="10"/>
        <rFont val="Times New Roman CE"/>
        <family val="1"/>
      </rPr>
      <t xml:space="preserve">, K-rz ul.Szkolna </t>
    </r>
    <r>
      <rPr>
        <b/>
        <sz val="10"/>
        <rFont val="Times New Roman CE"/>
        <family val="0"/>
      </rPr>
      <t>15.000,00</t>
    </r>
    <r>
      <rPr>
        <sz val="10"/>
        <rFont val="Times New Roman CE"/>
        <family val="1"/>
      </rPr>
      <t xml:space="preserve">, Radzyny </t>
    </r>
    <r>
      <rPr>
        <b/>
        <sz val="10"/>
        <rFont val="Times New Roman CE"/>
        <family val="0"/>
      </rPr>
      <t>25.000,00,</t>
    </r>
    <r>
      <rPr>
        <sz val="10"/>
        <rFont val="Times New Roman CE"/>
        <family val="1"/>
      </rPr>
      <t xml:space="preserve"> SUW Gaj Wielki </t>
    </r>
    <r>
      <rPr>
        <b/>
        <sz val="10"/>
        <rFont val="Times New Roman CE"/>
        <family val="0"/>
      </rPr>
      <t>10.000,00</t>
    </r>
  </si>
  <si>
    <t>Partycypacja w remontach dróg powiatowych Kaźmierz-Tarnowo Podgórne i Komorowo-Pólko-Sokolniki Wielkie</t>
  </si>
  <si>
    <t>Budowa dróg dojazdowych do gruntów rolnych oraz dróg gminnych</t>
  </si>
  <si>
    <r>
      <t xml:space="preserve">Wykup działek </t>
    </r>
    <r>
      <rPr>
        <b/>
        <sz val="10"/>
        <rFont val="Times New Roman CE"/>
        <family val="0"/>
      </rPr>
      <t>30.000,00</t>
    </r>
    <r>
      <rPr>
        <sz val="10"/>
        <rFont val="Times New Roman CE"/>
        <family val="1"/>
      </rPr>
      <t xml:space="preserve"> i dróg </t>
    </r>
    <r>
      <rPr>
        <b/>
        <sz val="10"/>
        <rFont val="Times New Roman CE"/>
        <family val="0"/>
      </rPr>
      <t>930.000,00</t>
    </r>
  </si>
  <si>
    <t>Budowa gimnazjum z salą gimnastyczną w Kaźmierzu ZPORR</t>
  </si>
  <si>
    <t>Budowa gimnazjum z salą gimnastyczną w Kaźmierzu środki własne, budżet państwa</t>
  </si>
  <si>
    <t>Budowa sieci kanalizacji sanitarnej w Piersku</t>
  </si>
  <si>
    <r>
      <t xml:space="preserve">Zmiana systemu oświetlenia na terenie gminy </t>
    </r>
    <r>
      <rPr>
        <b/>
        <sz val="10"/>
        <rFont val="Times New Roman CE"/>
        <family val="0"/>
      </rPr>
      <t>9.638,00</t>
    </r>
    <r>
      <rPr>
        <sz val="10"/>
        <rFont val="Times New Roman CE"/>
        <family val="1"/>
      </rPr>
      <t xml:space="preserve">, przebudowa linii NN Kaźmierz ul.Polna </t>
    </r>
    <r>
      <rPr>
        <b/>
        <sz val="10"/>
        <rFont val="Times New Roman CE"/>
        <family val="0"/>
      </rPr>
      <t>15.000,00</t>
    </r>
  </si>
  <si>
    <t>Budowa sieci gazowej na terenie gminy.</t>
  </si>
  <si>
    <t>Zał.Nr 5</t>
  </si>
  <si>
    <t>Dodatki mieszkaniowe</t>
  </si>
  <si>
    <t>Składka na Fundusz Pracy</t>
  </si>
  <si>
    <t>Usługi opiekuńcze i specjalistyczne usługi opiekuńcze</t>
  </si>
  <si>
    <t>Oświetlenie ulic, placów i dróg</t>
  </si>
  <si>
    <t>Wynagrodzenie bezosobowe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</si>
  <si>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</si>
  <si>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</si>
  <si>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</si>
  <si>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</si>
  <si>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z wynajmu sali</t>
  </si>
  <si>
    <t>- przychody z wynajmu sali GOK</t>
  </si>
  <si>
    <t>odsetki ze środków na rk-u bankowym</t>
  </si>
  <si>
    <t>Razem</t>
  </si>
  <si>
    <t>Plan pozmianach</t>
  </si>
  <si>
    <t>Materiały</t>
  </si>
  <si>
    <t>SPRAWOZDANIE</t>
  </si>
  <si>
    <t>z przebiegu wykonania budżetu Gminy Kaźmierz</t>
  </si>
  <si>
    <t>Odpis na ZFŚS</t>
  </si>
  <si>
    <t>- koszty odpisu na Zakładowy Fundusz Świadczeń Socjalnych</t>
  </si>
  <si>
    <t>Podróże służbowe</t>
  </si>
  <si>
    <t>delegacje pracowników</t>
  </si>
  <si>
    <t>- koszty delegacji służbowych pracowników</t>
  </si>
  <si>
    <t>ryczałty samochodowe</t>
  </si>
  <si>
    <t>- koszty używania prywatnych samochodów do celów służbowych</t>
  </si>
  <si>
    <t>Ubezpieczenie budynku i wyposażenia</t>
  </si>
  <si>
    <t xml:space="preserve">         7.024.273,00 zł </t>
  </si>
  <si>
    <r>
      <t>9.</t>
    </r>
    <r>
      <rPr>
        <sz val="12"/>
        <rFont val="Times New Roman"/>
        <family val="1"/>
      </rPr>
      <t xml:space="preserve"> Zestawienie zobowiązań i należności (Zał.nr 8)</t>
    </r>
  </si>
  <si>
    <t xml:space="preserve">    Nr XLII/254/05 (Dz.Urz.Woj.Wielkopolskiego Nr 15, poz.399 z dn.27.01.2006 r.) :</t>
  </si>
  <si>
    <t>PRZYCHODY I ROZCHODY 2006r.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</si>
  <si>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Młodasko - Bytyń (inwestycja zakończona 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</si>
  <si>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Izby Rolnicze od 1 stycznia do 31 maja 2006 r.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</si>
  <si>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budowę sieci wodociągowej  w Kaźmierzu przy ul.Polnej - Reja (przewidywany koniec inwestycji 2009 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</si>
  <si>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wykup działek w  Radzynach nr 145/05, w Kaźmierzu  nr  54/11, 54/10, 66/1,66/8, 66/9, 54/13, 120/2, 1158, 1183, 1167, 1193, 1198 w Piersku nr 2/26, 2/41</t>
    </r>
  </si>
  <si>
    <t>- wynagrodzenie komisji urbanistycznej (zgodnie z Zarządzeniem nr 32/06 Wójta Gminy Kaźmierz z dnia 20.03.2006 r.)</t>
  </si>
  <si>
    <r>
      <t>754</t>
    </r>
    <r>
      <rPr>
        <b/>
        <sz val="7"/>
        <rFont val="Times New Roman"/>
        <family val="1"/>
      </rPr>
      <t xml:space="preserve">    </t>
    </r>
    <r>
      <rPr>
        <b/>
        <u val="single"/>
        <sz val="12"/>
        <rFont val="Times New Roman"/>
        <family val="1"/>
      </rPr>
      <t>BEZPIECZEŃSTWO PUBLICZNE I OCHRONA PRZECIWPOŻAROWA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</si>
  <si>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remonty budynku strażnicy w  Gaju Wielkim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</si>
  <si>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mundurów oraz drobnego sprzętu dla gminnych jednostek OSP (kosiarka, zestaw łączności CD, węże tłoczne)</t>
    </r>
  </si>
  <si>
    <t>- odsetki kredytowe Umowa Nr 05/0839/FRIK/2005 ze środków Funduszu Rozwoju Inwestycji Komunalnych na inwestycję pn."Budowa gimnazjum wraz z salą gimnastyczną w Kaźmierzu".</t>
  </si>
  <si>
    <t>- odsetki kredytowe Umowa Nr 05/1117 o kredyt ze środków Europejskiego Banku Inwestycyjnego na inwestycję pn."Budowa gimnazjum wrza z salą gimnastyczną w Kaźmierzu".</t>
  </si>
  <si>
    <t>- odsetki od pożyczki Umowa Nr ZPORR_351.001222.30 (prefinansowanie) na inwestycję pn."Budaowa gimnazjum wraz z salą gimnastyczną w Kaźmierzu".</t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</si>
  <si>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zakup wyposażenia sali sesyjnej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</si>
  <si>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remont pomieszczenia archiwum w budynku Urzędu Gminy</t>
    </r>
  </si>
  <si>
    <t xml:space="preserve">Oddział Przedszkolny w Bytyniu </t>
  </si>
  <si>
    <t xml:space="preserve">Oddział Przedszkolny wSokolnikach Wielkich </t>
  </si>
  <si>
    <t>Przedszkole Kaźmierzu</t>
  </si>
  <si>
    <t xml:space="preserve">Przedszkole Niepubliczne w Sokolnikach Wielkich </t>
  </si>
  <si>
    <r>
      <t>·</t>
    </r>
    <r>
      <rPr>
        <sz val="7"/>
        <rFont val="Times New Roman"/>
        <family val="1"/>
      </rPr>
      <t>        </t>
    </r>
    <r>
      <rPr>
        <sz val="12"/>
        <rFont val="Times New Roman"/>
        <family val="1"/>
      </rPr>
      <t>telefon i prenumerata czasopism</t>
    </r>
  </si>
  <si>
    <t>·       wynagrodzenie osób pracujących w świetlicach ( Chlewiska, Sokolniki Wielkie)</t>
  </si>
  <si>
    <t>·     energia elektryczna i gaz (siedziba GKRPA)</t>
  </si>
  <si>
    <t>·     drobne prace remontowe  (siedziba GKRPA)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</si>
  <si>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zakup pomocy dydaktycznych w świetlicach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</si>
  <si>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szkolne programy profilaktyczne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</si>
  <si>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półkolonie zimowe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</si>
  <si>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pozostałe</t>
    </r>
  </si>
  <si>
    <r>
      <t>-</t>
    </r>
    <r>
      <rPr>
        <sz val="7"/>
        <rFont val="Times New Roman"/>
        <family val="1"/>
      </rPr>
      <t>      </t>
    </r>
    <r>
      <rPr>
        <sz val="12"/>
        <rFont val="Times New Roman"/>
        <family val="1"/>
      </rPr>
      <t>zasiłki rodzinne (5 344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</si>
  <si>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urodzenia dziecka (30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</si>
  <si>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opieki nad dzieckiem w okresie korzystania z urlopu wychowawczego (202 świadczenia)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</si>
  <si>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i utraty prawa do zasiłku dla bezrobotnych na skutek upływu ustawowego okresu jego pobierania    (0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</si>
  <si>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w kwocie zwiększonej na podst.art.11a ust.3 i 4 ustawy (5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</si>
  <si>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samotnego wychowywania dziecka w wys.określonej w art..11a ust.5 ustawy (182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</si>
  <si>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do 5 roku życia ( 23 świadczenia)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</si>
  <si>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kształcenia i rehabilitacji dziecka niepełnosprawnego powyżej 5 roku życia ( 173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</si>
  <si>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rozpoczęcie roku szkolnego ( 2 świadczenia)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</si>
  <si>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zamieszkaniem w miejscowości, w której znajduje się szkoła ( 36 świadczeń)</t>
    </r>
  </si>
  <si>
    <t>Odsetki z ratalnej sprzedaży mieszkań i budynków.</t>
  </si>
  <si>
    <t>Odsetki za nieterminowe regulowanie należności</t>
  </si>
  <si>
    <t>Podatek od spadków i darowizn. Podatek trudny do oszacowania.</t>
  </si>
  <si>
    <t>Odsetki od nieterminowych wpłat opłaty planistycznej.</t>
  </si>
  <si>
    <t>Dochody z tytułu refundacji z Wojewódzkiego Urzędu Pracy - Zastępcza służba wojskowa.</t>
  </si>
  <si>
    <t>Dochody z prowizji za dystrybucje znaków skarbowych.</t>
  </si>
  <si>
    <t>Odsetki od środków na rachunku bankowym.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</si>
  <si>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i wyposażenia (niszczarki, obcinarki, akumulator do aparatu SAGA 3,6 300mA, pieczątki, wentylatory)</t>
    </r>
  </si>
  <si>
    <t>Struktura dochodów za okres                                                                                                                                     od 01.01.2006r. –30.06.2006r.</t>
  </si>
  <si>
    <t>Umowa Nr GM-5/2006 o udzielenie bezzwrotnej pomocy finansowej zawarta w Poznaniu w dniu 23.05.2006r z Agencją Nieruchomości Rolnej. Przekazanie dotacji nastąpi po 15.12.2006r.</t>
  </si>
  <si>
    <t>Dochody za dzierżawę polnych obwodów łowieckich. Wpływ w IV kwartale 2006r.</t>
  </si>
  <si>
    <t>Umowa Dofinansowania Nr 137/2006 za środków finansowych Funduszu Ochrony Gruntów Rolnych z dnia 20.04.2006r. z Województwem Wielkopolskim. Przekazanie dotacji  do dnia 31.10.2006r.</t>
  </si>
  <si>
    <t>Umowa Nr DI.III.0723/89/2006 z dnia 15.05.2006r. z Województwem Wielkopolskim. Przekazanie dotacji  do dnia 31.10.2006r.</t>
  </si>
  <si>
    <t>Porozumienie z Powiatem Szamotulskim. Przekazanie dotacji po rozpoczęciu zadania inwestycyjnego.</t>
  </si>
  <si>
    <t xml:space="preserve">     -     dotacja celowa z budżetu na finansowanie lub dofinansowanie                                                                                                                                                                                                                                                                                           kosztów realizacji inwestycji i zakupów inwestycyjnych jednostek niezaliczanych do sektora finansów publicznych</t>
  </si>
  <si>
    <t>Dochody po zmianach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</si>
  <si>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</si>
  <si>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</si>
  <si>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</si>
  <si>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</si>
  <si>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</si>
  <si>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</si>
  <si>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</si>
  <si>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</si>
  <si>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</si>
  <si>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</si>
  <si>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</si>
  <si>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0960</t>
  </si>
  <si>
    <t xml:space="preserve">Razem </t>
  </si>
  <si>
    <t>Przychody</t>
  </si>
  <si>
    <t>Dotacja Urzędu Gminy w Kaźmierzu</t>
  </si>
  <si>
    <t>Przychody własne</t>
  </si>
  <si>
    <t>z działalności kulturalnej</t>
  </si>
  <si>
    <r>
      <t>Zakup 3 zestawów komputerowych ATX</t>
    </r>
    <r>
      <rPr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12.800,00</t>
    </r>
    <r>
      <rPr>
        <sz val="10"/>
        <rFont val="Times New Roman CE"/>
        <family val="1"/>
      </rPr>
      <t xml:space="preserve">,  duplex drukarki laserowej LJ 5100PCL 6 </t>
    </r>
    <r>
      <rPr>
        <b/>
        <sz val="10"/>
        <rFont val="Times New Roman CE"/>
        <family val="0"/>
      </rPr>
      <t>2.600,00</t>
    </r>
  </si>
  <si>
    <t>Zakup tablic informacji wizualnej dla sołectw 20 szt.</t>
  </si>
  <si>
    <t>Wydatki sołectw, utrzymanie  świetlic wiejskich, organizacja imprez okolicznościowych na terenie sołectw</t>
  </si>
  <si>
    <t>Diety za udział w akcjach. Koszt wynika z liczby wyjazdów x liczba strażaków x liczba godzin x 4,50zł</t>
  </si>
  <si>
    <t>Umowy zlecenie</t>
  </si>
  <si>
    <t>Zakup energii w strażnicach OSP oraz gazu w strażnicy w Kaźmierzu, Kopaninie i Sokolnikach Małych</t>
  </si>
  <si>
    <t>Odsetki kredytowe - prefinansowanie</t>
  </si>
  <si>
    <t>Ustawa o finansach publicznych Art.116 ust.4 rezerwa ogólna nie może być wyższa niż 1% wydatków budżetu</t>
  </si>
  <si>
    <t>Dodatki mieszkaniowe, dodatki wiejskie, środki Bhp dla nauczycieli i pracowników obsługi, pomoc zdrowotna dla nauczycieli</t>
  </si>
  <si>
    <t>Wynagrodzenia osobowe, w tym odprawy emerytalne i nagrody jubileuszowe</t>
  </si>
  <si>
    <t>Materiały biurowe, środki czystości, olej opałowy SP Bytyń 90.000,00, węgiel SP Gaj Wielki 20.000,00</t>
  </si>
  <si>
    <r>
      <t>Energia 33.200,00, woda 7.600,00, gaz 45.500,00, CO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44.000,00</t>
    </r>
  </si>
  <si>
    <t>Naprawy , konserwacje</t>
  </si>
  <si>
    <t>Koszty podłaczenia do internetu pracowni internetowych</t>
  </si>
  <si>
    <t>Rózne opłaty i składki</t>
  </si>
  <si>
    <t>Ubezpieczenia budynków</t>
  </si>
  <si>
    <t>Oddziały przedszkolne w szkołach podstawowych</t>
  </si>
  <si>
    <t>Artykuły biurowe, środki czystości</t>
  </si>
  <si>
    <t>Energia, woda, gaz</t>
  </si>
  <si>
    <t>Naprawy, konserwacje sprzętu.</t>
  </si>
  <si>
    <t>Opłaty RTV, opłaty za telefon, usługi komunalne, pralnie,  prowizje bankowe</t>
  </si>
  <si>
    <t>Koszty delegacji służbowych</t>
  </si>
  <si>
    <r>
      <t xml:space="preserve">Dotacje dla przedszkoli niepublicznych Sokolniki Wielkie 280złx45x12m-cy </t>
    </r>
    <r>
      <rPr>
        <b/>
        <sz val="10"/>
        <rFont val="Times New Roman CE"/>
        <family val="0"/>
      </rPr>
      <t>151.200,00,</t>
    </r>
    <r>
      <rPr>
        <sz val="10"/>
        <rFont val="Times New Roman CE"/>
        <family val="1"/>
      </rPr>
      <t xml:space="preserve"> pozostałe </t>
    </r>
    <r>
      <rPr>
        <b/>
        <sz val="10"/>
        <rFont val="Times New Roman CE"/>
        <family val="0"/>
      </rPr>
      <t>19.200,00 (</t>
    </r>
    <r>
      <rPr>
        <sz val="10"/>
        <rFont val="Times New Roman CE"/>
        <family val="1"/>
      </rPr>
      <t>zgodnie z Uchwałą Nr XVIII/119/04 Rady Gminy Kaźmierz z dn.05.03.2004r.)</t>
    </r>
  </si>
  <si>
    <t>Naprwy, konserwacje</t>
  </si>
  <si>
    <t>Ubezpieczenie budynków</t>
  </si>
  <si>
    <t>Energia, woda,gaz od IX 2006r.</t>
  </si>
  <si>
    <t>Opłata za pracownie internetowe</t>
  </si>
  <si>
    <t>Bhp</t>
  </si>
  <si>
    <r>
      <t xml:space="preserve">Usługa dowożenia dzieci do szkół </t>
    </r>
    <r>
      <rPr>
        <b/>
        <sz val="10"/>
        <rFont val="Times New Roman CE"/>
        <family val="0"/>
      </rPr>
      <t>260.000,00</t>
    </r>
    <r>
      <rPr>
        <sz val="10"/>
        <rFont val="Times New Roman CE"/>
        <family val="1"/>
      </rPr>
      <t xml:space="preserve">, dowożenie dzieci niepełnosprawnych </t>
    </r>
    <r>
      <rPr>
        <b/>
        <sz val="10"/>
        <rFont val="Times New Roman CE"/>
        <family val="0"/>
      </rPr>
      <t>7.000,00</t>
    </r>
  </si>
  <si>
    <t>Wynagrodzenie pracowników GZO oraz osób zatrudnionych z programu Szwajcarski Zegarek</t>
  </si>
  <si>
    <t>Artykuły biurowe, książki i czasopisma fachowe, tonery do drukarek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</si>
  <si>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10"/>
        <rFont val="Times New Roman CE"/>
        <family val="0"/>
      </rPr>
      <t>pomniejszone o wynagrodzenia obsługi</t>
    </r>
    <r>
      <rPr>
        <sz val="10"/>
        <rFont val="Times New Roman CE"/>
        <family val="1"/>
      </rPr>
      <t>)</t>
    </r>
  </si>
  <si>
    <t>FŚS dla emerytowanych nauczycieli i pracowników oświaty (41 osób x 855,00).Szacunek na podstawie pisma MENiS DE-3-339-7/05</t>
  </si>
  <si>
    <t>Świadczenia rodzinne, zaliczka alimentacyjna oraz składki na ubezpieczenia emerytalne i rentowe z ubezpieczenia społecznego</t>
  </si>
  <si>
    <t>100% UG</t>
  </si>
  <si>
    <t xml:space="preserve">Świadczenia rodzinne i zaliczki alimentacyjne </t>
  </si>
  <si>
    <t>Koszty obsługi</t>
  </si>
  <si>
    <t>Zasiłki i pomoc w naturze oraz składki na ubezpieczenia emerytalne i rentowe</t>
  </si>
  <si>
    <r>
      <t xml:space="preserve">zadania zlecone WUW P-ń </t>
    </r>
    <r>
      <rPr>
        <b/>
        <sz val="10"/>
        <rFont val="Times New Roman CE"/>
        <family val="1"/>
      </rPr>
      <t>63.800,00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130.000,00</t>
    </r>
  </si>
  <si>
    <t>UG w 100%</t>
  </si>
  <si>
    <r>
      <t xml:space="preserve">WUW </t>
    </r>
    <r>
      <rPr>
        <b/>
        <sz val="10"/>
        <rFont val="Times New Roman CE"/>
        <family val="1"/>
      </rPr>
      <t>64.300,00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323.300,00</t>
    </r>
  </si>
  <si>
    <t>Pomoc materialna dla uczniów w ramach narodowego Funduszu Stypendialnego</t>
  </si>
  <si>
    <r>
      <t xml:space="preserve">Zakup materiałów bieżącego utrzymania toalet publicznych </t>
    </r>
    <r>
      <rPr>
        <b/>
        <sz val="10"/>
        <rFont val="Times New Roman CE"/>
        <family val="0"/>
      </rPr>
      <t>2.000,00</t>
    </r>
    <r>
      <rPr>
        <sz val="10"/>
        <rFont val="Times New Roman CE"/>
        <family val="1"/>
      </rPr>
      <t xml:space="preserve">, zakup pojemników do selektywnej zbiórki </t>
    </r>
    <r>
      <rPr>
        <b/>
        <sz val="10"/>
        <rFont val="Times New Roman CE"/>
        <family val="0"/>
      </rPr>
      <t>10.000,00</t>
    </r>
  </si>
  <si>
    <r>
      <t xml:space="preserve">Inne usługi związane z utrzymaniem toalet publicznych </t>
    </r>
    <r>
      <rPr>
        <b/>
        <sz val="10"/>
        <rFont val="Times New Roman CE"/>
        <family val="0"/>
      </rPr>
      <t>2.000,00</t>
    </r>
    <r>
      <rPr>
        <sz val="10"/>
        <rFont val="Times New Roman CE"/>
        <family val="1"/>
      </rPr>
      <t xml:space="preserve">, umowa ze schroniskiem bezpańsich zwierząt </t>
    </r>
    <r>
      <rPr>
        <b/>
        <sz val="10"/>
        <rFont val="Times New Roman CE"/>
        <family val="0"/>
      </rPr>
      <t>10.000,00</t>
    </r>
  </si>
  <si>
    <t>Gospodarz obiektu sportowego w K-rzu i Bytyniu, obsługa strzelnicy LOK - umowy zlecenie, sędziowanie zawodów sportowych</t>
  </si>
  <si>
    <t xml:space="preserve">Zakup materiałów bieżącego utrzymania oraz materiałów na organizację imprez plenerowo-sportowych, zakup sprzętu sportowego , zakup trawy, nawozów </t>
  </si>
  <si>
    <t>Deficyt</t>
  </si>
  <si>
    <t>Struktura wydatków za okres  od 01.01.2006 r. –30.06.2006 r.</t>
  </si>
  <si>
    <t xml:space="preserve">W  I półroczu 2006 spłaty rat kredytowych odbywały się zgodnie z harmonogramem określonym w umowach kredytowych i pożyczkowych. </t>
  </si>
  <si>
    <t>Spłata pożyczka na prefinansowanie (pismo Wielkopolskiego Urzędu Wojewódzkiego w Poznaniu z dnia 19.05.2006 r., znak FB.II-3.33075-115/06)</t>
  </si>
  <si>
    <t>Wykonanie na 30.06.2006r.</t>
  </si>
  <si>
    <t>DOCHODY GMINY KAŹMIERZ W 2006r.</t>
  </si>
  <si>
    <t>Zał.Nr 1 do Uchwały Nr XLII/254/05 Rady Gminy Kaźmierz z dnia 21.12.2005r</t>
  </si>
  <si>
    <t xml:space="preserve">Plan dochodów budżetowych na 2006r.               </t>
  </si>
  <si>
    <t>Uchwała nr _____ RG Kaźmierz z dn._____</t>
  </si>
  <si>
    <t xml:space="preserve"> Udział gmin uczestników Dożynek Powiatowych 2006r i Starostwa Powiatowego</t>
  </si>
  <si>
    <t>Dotacje otrzymane z powiatu na  inwestycje i zakupy inwestycyjne realizowane na podstawie porozumień (umów) między jednostkami samorządu terytorialnego.</t>
  </si>
  <si>
    <r>
      <t xml:space="preserve">Opłaty za grunty oddane w użytkowanie wieczyste </t>
    </r>
    <r>
      <rPr>
        <b/>
        <sz val="10"/>
        <rFont val="Times New Roman CE"/>
        <family val="0"/>
      </rPr>
      <t>21.473,00</t>
    </r>
    <r>
      <rPr>
        <sz val="10"/>
        <rFont val="Times New Roman CE"/>
        <family val="1"/>
      </rPr>
      <t xml:space="preserve"> i trwały zarząd </t>
    </r>
    <r>
      <rPr>
        <b/>
        <sz val="10"/>
        <rFont val="Times New Roman CE"/>
        <family val="0"/>
      </rPr>
      <t>17.320,00</t>
    </r>
  </si>
  <si>
    <r>
      <t xml:space="preserve">Za dzierżawę gruntów rolnych </t>
    </r>
    <r>
      <rPr>
        <b/>
        <sz val="10"/>
        <rFont val="Times New Roman CE"/>
        <family val="0"/>
      </rPr>
      <t>20.845,00</t>
    </r>
    <r>
      <rPr>
        <sz val="10"/>
        <rFont val="Times New Roman CE"/>
        <family val="1"/>
      </rPr>
      <t>,</t>
    </r>
    <r>
      <rPr>
        <sz val="10"/>
        <rFont val="Times New Roman CE"/>
        <family val="1"/>
      </rPr>
      <t xml:space="preserve"> gruntów pod garażem </t>
    </r>
    <r>
      <rPr>
        <b/>
        <sz val="10"/>
        <rFont val="Times New Roman CE"/>
        <family val="0"/>
      </rPr>
      <t>342,00</t>
    </r>
    <r>
      <rPr>
        <sz val="10"/>
        <rFont val="Times New Roman CE"/>
        <family val="1"/>
      </rPr>
      <t xml:space="preserve">, gruntów pod usługi </t>
    </r>
    <r>
      <rPr>
        <b/>
        <sz val="10"/>
        <rFont val="Times New Roman CE"/>
        <family val="0"/>
      </rPr>
      <t>2.788,00</t>
    </r>
    <r>
      <rPr>
        <sz val="10"/>
        <rFont val="Times New Roman CE"/>
        <family val="1"/>
      </rPr>
      <t xml:space="preserve">,  gruntów pod wieżą telefonii komórkowej </t>
    </r>
    <r>
      <rPr>
        <b/>
        <sz val="10"/>
        <rFont val="Times New Roman CE"/>
        <family val="0"/>
      </rPr>
      <t>36.000,00</t>
    </r>
    <r>
      <rPr>
        <sz val="10"/>
        <rFont val="Times New Roman CE"/>
        <family val="1"/>
      </rPr>
      <t xml:space="preserve">,  za najem lokali użytkowych </t>
    </r>
    <r>
      <rPr>
        <b/>
        <sz val="10"/>
        <rFont val="Times New Roman CE"/>
        <family val="0"/>
      </rPr>
      <t xml:space="preserve">19.150,00, </t>
    </r>
    <r>
      <rPr>
        <sz val="10"/>
        <rFont val="Times New Roman CE"/>
        <family val="0"/>
      </rPr>
      <t>za dzierżawy przydrożnych alei drzew owocowych</t>
    </r>
    <r>
      <rPr>
        <b/>
        <sz val="10"/>
        <rFont val="Times New Roman CE"/>
        <family val="0"/>
      </rPr>
      <t xml:space="preserve"> 200,00</t>
    </r>
  </si>
  <si>
    <r>
      <t xml:space="preserve">Raty za wykup mieszkań i budynków </t>
    </r>
    <r>
      <rPr>
        <b/>
        <sz val="10"/>
        <rFont val="Times New Roman CE"/>
        <family val="0"/>
      </rPr>
      <t>11.142,00</t>
    </r>
    <r>
      <rPr>
        <sz val="10"/>
        <rFont val="Times New Roman CE"/>
        <family val="1"/>
      </rPr>
      <t xml:space="preserve"> , sprzedaż nieruchomości </t>
    </r>
    <r>
      <rPr>
        <b/>
        <sz val="10"/>
        <rFont val="Times New Roman CE"/>
        <family val="0"/>
      </rPr>
      <t>713.000,00</t>
    </r>
    <r>
      <rPr>
        <sz val="10"/>
        <rFont val="Times New Roman CE"/>
        <family val="1"/>
      </rPr>
      <t xml:space="preserve"> (dz.483/17, o pow.1,0492 ha w Kaźmierzu bez przeznaczenia 80.000,00, dz167-201 </t>
    </r>
    <r>
      <rPr>
        <b/>
        <sz val="10"/>
        <rFont val="Times New Roman CE"/>
        <family val="0"/>
      </rPr>
      <t>33 działki</t>
    </r>
    <r>
      <rPr>
        <sz val="10"/>
        <rFont val="Times New Roman CE"/>
        <family val="1"/>
      </rPr>
      <t>, o pow.10,19 ha w Kopaninie pod budownictwo jednorodzinne 718.000,00, dz.117/65, o pow.0,0177 w Radzynach pod budownictwo jednorodzinne 2.000,00)</t>
    </r>
  </si>
  <si>
    <t>Pismo Wojewody Wielkopolskiego z dnia 21.10.2005r., znak FB.I-3.3010-78/05</t>
  </si>
  <si>
    <t>5% kwoty zaplanowanej przez Wojewodę Wielkopolskiego (pismo Wojewody Wielkopolskiego z dnia 21.10.2005r., znak FB.I-3.3010-78/05)</t>
  </si>
  <si>
    <r>
      <t xml:space="preserve">Opłaty za druki, specyfikacje do przetargów </t>
    </r>
    <r>
      <rPr>
        <b/>
        <sz val="10"/>
        <rFont val="Times New Roman CE"/>
        <family val="0"/>
      </rPr>
      <t>20.400,00</t>
    </r>
    <r>
      <rPr>
        <sz val="10"/>
        <rFont val="Times New Roman CE"/>
        <family val="1"/>
      </rPr>
      <t xml:space="preserve">, refundacja programu Szwajcarski Zegarek </t>
    </r>
    <r>
      <rPr>
        <b/>
        <sz val="10"/>
        <rFont val="Times New Roman CE"/>
        <family val="0"/>
      </rPr>
      <t>24.600,00</t>
    </r>
  </si>
  <si>
    <t>Dotacja na prowadzenie stałego rejestru wyborców w 2006r. Pismo Krajowego Biura Wyborczego Delegatura w Pile z dnia 12.12.2005r, znak DPL 0301-5/06/05</t>
  </si>
  <si>
    <t>Uchwała nr XLI/250/05 Rady Gminy Kaźmierz z dnia 29 listopada 2005r.</t>
  </si>
  <si>
    <t>Przyjęto cenę GUS 1q żyta 27,88 zł/q (MP Nr 62, poz.867)</t>
  </si>
  <si>
    <t>Przyjęto cenę GUS 131,35 (MP Nr 62, poz.868)</t>
  </si>
  <si>
    <t>Uchwała nr XLI/248/05 Rady Gminy Kaźmierz z dnia 29 listopada 2005r.</t>
  </si>
  <si>
    <t>Uchwała nr XLI/249/05 Rady Gminy Kaźmierz z dnia 29 listopada 2005r.</t>
  </si>
  <si>
    <r>
      <t xml:space="preserve">Wpływy z opłaty planistycznej </t>
    </r>
    <r>
      <rPr>
        <b/>
        <sz val="10"/>
        <rFont val="Times New Roman CE"/>
        <family val="0"/>
      </rPr>
      <t>150.000,00</t>
    </r>
    <r>
      <rPr>
        <sz val="10"/>
        <rFont val="Times New Roman CE"/>
        <family val="1"/>
      </rPr>
      <t xml:space="preserve">, opłata adiacencka i podziałowa </t>
    </r>
    <r>
      <rPr>
        <b/>
        <sz val="10"/>
        <rFont val="Times New Roman CE"/>
        <family val="0"/>
      </rPr>
      <t>910.000,00</t>
    </r>
    <r>
      <rPr>
        <sz val="10"/>
        <rFont val="Times New Roman CE"/>
        <family val="1"/>
      </rPr>
      <t xml:space="preserve"> z opłat za wpis i zmianę wpisu do ewidencji działalności gospodarczej </t>
    </r>
    <r>
      <rPr>
        <b/>
        <sz val="10"/>
        <rFont val="Times New Roman CE"/>
        <family val="0"/>
      </rPr>
      <t xml:space="preserve">5.000,00, </t>
    </r>
    <r>
      <rPr>
        <sz val="10"/>
        <rFont val="Times New Roman CE"/>
        <family val="0"/>
      </rPr>
      <t>pozostałe opłaty</t>
    </r>
    <r>
      <rPr>
        <b/>
        <sz val="10"/>
        <rFont val="Times New Roman CE"/>
        <family val="0"/>
      </rPr>
      <t xml:space="preserve"> 58.300,00</t>
    </r>
  </si>
  <si>
    <t>Załącznik do pisma Ministra Finansów z dnia 11.10.2005r., znak ST3-4820-46/2005</t>
  </si>
  <si>
    <t>Część równoważąca subwencji ogólnej dla gmin</t>
  </si>
  <si>
    <t>Uchwała nr XLI/244/05 Rady Gminy Kaźmierz z dnia 29 listopada 2005r.</t>
  </si>
  <si>
    <t>Refundacja służby zastępczej</t>
  </si>
  <si>
    <t>Refundacja programu Szwajcarski Zegarek</t>
  </si>
  <si>
    <r>
      <t xml:space="preserve">Rozdział 80113 Dowożenie uczniów </t>
    </r>
    <r>
      <rPr>
        <sz val="12"/>
        <rFont val="Times New Roman"/>
        <family val="1"/>
      </rPr>
      <t>(dotacja Gminy)</t>
    </r>
  </si>
  <si>
    <r>
      <t xml:space="preserve">Rozdział 80114 Zespoły ekonomiczno-administracyjne szkół </t>
    </r>
    <r>
      <rPr>
        <sz val="12"/>
        <rFont val="Times New Roman"/>
        <family val="1"/>
      </rPr>
      <t>(dotacja Gminy)</t>
    </r>
  </si>
  <si>
    <t>Lp</t>
  </si>
  <si>
    <t>1.</t>
  </si>
  <si>
    <t>Urząd Gminy</t>
  </si>
  <si>
    <t>2.</t>
  </si>
  <si>
    <t>Gminny Zespół Oświatowy</t>
  </si>
  <si>
    <t>3.</t>
  </si>
  <si>
    <t>ZESTAWIENIE NALEŻNOŚCI  I  ZOBOWIĄZAŃ</t>
  </si>
  <si>
    <t>Zał.nr 9</t>
  </si>
  <si>
    <t xml:space="preserve">Zał.nr 3 </t>
  </si>
  <si>
    <t xml:space="preserve">Zał.nr 4 </t>
  </si>
  <si>
    <t>Szkoła Podstawowa w Bytyniu</t>
  </si>
  <si>
    <t>Zakład Usług Komunalnych</t>
  </si>
  <si>
    <t>XII</t>
  </si>
  <si>
    <t>%</t>
  </si>
  <si>
    <t>010</t>
  </si>
  <si>
    <t>Rolnictwo i łowiectwo</t>
  </si>
  <si>
    <t>01010</t>
  </si>
  <si>
    <t>Infrastruktura wodociągowa i sanitacji wsi</t>
  </si>
  <si>
    <t>Środki na dofinasowanie własnych inwestycji gmin pozyskane z innych źródeł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</si>
  <si>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</si>
  <si>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</si>
  <si>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</si>
  <si>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</si>
  <si>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</si>
  <si>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</si>
  <si>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Za dzierżawę polnych obwodów łowieckich 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</si>
  <si>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inwestycyjna dla Zakładu Usług Komunalnych w Kaźmierzu na zakup koparki (zgodnie z Uchwałą Nr XLIII/259/05 Rady Gminy Kaźmierz z dn.30.12.2005r.)</t>
    </r>
  </si>
  <si>
    <r>
      <t xml:space="preserve">Dodatki mieszkaniowe - </t>
    </r>
    <r>
      <rPr>
        <sz val="12"/>
        <rFont val="Times New Roman"/>
        <family val="1"/>
      </rPr>
      <t>dotacja Gminy Kaźmierz</t>
    </r>
  </si>
  <si>
    <r>
      <t xml:space="preserve">Zadania własne - </t>
    </r>
    <r>
      <rPr>
        <sz val="12"/>
        <rFont val="Times New Roman"/>
        <family val="1"/>
      </rPr>
      <t>dotacja Gminy Kaźmierz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</si>
  <si>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organizacji pozarządowej UKS Kaźmierz "SOKÓŁ" (Umowa Nr 1/2005 z dnia 28.04.2005r.)</t>
    </r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</si>
  <si>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dotacja na realizację zadania dla Uczniowskiego Klubu Sportowego "SOKÓŁ" (Umowa z dnia 08.03.2005r.)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</si>
  <si>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nawozu na tereny zieleni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</si>
  <si>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wycinka drzew na terenie gminy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</si>
  <si>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 chodnika w Kaźmierzu przy ul.Szkolnej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</si>
  <si>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 chodnika w Kiączynie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</si>
  <si>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 chodnika w Sokolnikach Wielkich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</si>
  <si>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budowę drogi dojazdowej do gruntów rolnych w miejscowości Kopanina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</si>
  <si>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tablic z nazwami ulic i numeracji posesji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</si>
  <si>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tablic informacyjnych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</si>
  <si>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ogłoszenia prasowe, opłaty notarialne, wypisy z rejestru gruntów, opłaty podziałowe, projekty decyzji, wyceny nieruchomości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</si>
  <si>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współpraca z gminą litewską Ejszyszki, z gminą Ujście i Bystrzycą Kłodzką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</si>
  <si>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bieżące biura Rady Gminy (diety radnych, przewodniczącego, członków komisji, art. na posiedzenie sesji i komisji, szkolenia, art..biurowe, delegacje, prowizje bankowe)</t>
    </r>
  </si>
  <si>
    <r>
      <t>-</t>
    </r>
    <r>
      <rPr>
        <sz val="7"/>
        <rFont val="Times New Roman"/>
        <family val="1"/>
      </rPr>
      <t>        </t>
    </r>
    <r>
      <rPr>
        <sz val="12"/>
        <rFont val="Times New Roman"/>
        <family val="1"/>
      </rPr>
      <t>druk "Obserwatora Kaźmierskiego" oraz "Powiat szamotulski na dawnej pocztówce".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</si>
  <si>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partycypacja w transporcie żywności dla najuboższych z Wielkopolskiego Banku Żywności</t>
    </r>
  </si>
  <si>
    <t>- przeprowadzenie wyborów Prezydenta RP</t>
  </si>
  <si>
    <t>- przeprowadzenie wyborów do Sejmu i Senatu</t>
  </si>
  <si>
    <t xml:space="preserve">- usługi remontowe, naprawcze </t>
  </si>
  <si>
    <t xml:space="preserve">  tonerów do drukarek, mebli</t>
  </si>
  <si>
    <t>1. Wydatkowano na działalność Komisji Przeciwdziałania Alkoholizmowi</t>
  </si>
  <si>
    <t>854  EDUKACYJNA OPIEKA WYCHOWAWCZA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</si>
  <si>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</si>
  <si>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</si>
  <si>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</si>
  <si>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</si>
  <si>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</si>
  <si>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FOGR 58.500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</si>
  <si>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</si>
  <si>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</si>
  <si>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</si>
  <si>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</si>
  <si>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</si>
  <si>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</si>
  <si>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</si>
  <si>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</si>
  <si>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</si>
  <si>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</si>
  <si>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Odsetki z ratalnej sprzedaży mieszkań i budynków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</si>
  <si>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</si>
  <si>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</si>
  <si>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</si>
  <si>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</si>
  <si>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</si>
  <si>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</si>
  <si>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</si>
  <si>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Urzędy naczelnych organów władzy państwowej, kontroli i ochrony prawa i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</si>
  <si>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</si>
  <si>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</si>
  <si>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</si>
  <si>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</si>
  <si>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</si>
  <si>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</si>
  <si>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</si>
  <si>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Opłaty RTV, opłaty za telefon, serwis sieci komputerowej, usługi komunalne, pralnie, badania pracownicze</t>
  </si>
  <si>
    <t>Koszty delegacji służbowych nauczycieli</t>
  </si>
  <si>
    <t>Odpis na Zakładowy Fundusz Świadczeń Socjalnych</t>
  </si>
  <si>
    <t>Artykuły biurowe, środki czystości, wyposażenie</t>
  </si>
  <si>
    <t>Pomoce dydaktyczne, książki, wyposażenie kącików tematycznych</t>
  </si>
  <si>
    <t>Koszty delegacji nauczycieli</t>
  </si>
  <si>
    <t xml:space="preserve">Materiały biurowe, środki czystości, wyposażenie </t>
  </si>
  <si>
    <t>Książki, pomoce dydaktyczne, programy komputerowe</t>
  </si>
  <si>
    <t>Opłaty RTV, opłaty za telefon, serwis sieci komputerowej</t>
  </si>
  <si>
    <t>Wynagrodzenia dla opiekunów dzieci w czasie dowożenia</t>
  </si>
  <si>
    <t>Świadczenia rzeczowe dotyczące Bhp</t>
  </si>
  <si>
    <t>Serwis sieci komputerowej</t>
  </si>
  <si>
    <t>Prowizje bankowe, doskonalenie zawodowe, pozostałe usługi, aktualizacje SIGID</t>
  </si>
  <si>
    <t>Koszty delegacji pracowników GZO</t>
  </si>
  <si>
    <t>Działalność Gminnej Komisji Rozwiązywania Problemów Alkoholowych</t>
  </si>
  <si>
    <t xml:space="preserve">Pomoc finansowa Gminy Kaźmierz dla Szpitala Powiatowego w Szamotułach na zakup tomografu komputerowego </t>
  </si>
  <si>
    <t>dot.WUW w 100%</t>
  </si>
  <si>
    <t>Podstawa naliczenia dodatków: ustawa o dodatkach mieszkaniowych z dnia 21.06.2001r (Dz.U.Nr 71, poz.734) i Rozp.RM z dnia 28.12.2001 (Dz.U.Nr 156, poz.1817)</t>
  </si>
  <si>
    <t>Środki Bhp dla 7 pracowników, ekwiwalent za pranie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</si>
  <si>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</si>
  <si>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</si>
  <si>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</si>
  <si>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</si>
  <si>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</si>
  <si>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</si>
  <si>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</si>
  <si>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 xml:space="preserve">UG 100%, </t>
  </si>
  <si>
    <t>Dożywianie uczniów w szkołach</t>
  </si>
  <si>
    <t>Zakup żarówek, opraw oświetleniowych, czujników</t>
  </si>
  <si>
    <t>Energia na oświetlenie uliczne</t>
  </si>
  <si>
    <t>Konserwacja oświetlenia ulicznego</t>
  </si>
  <si>
    <t>Bieżąca obsługa oświetlenia ulicznego, wykonanie projektów oświetlenia na terenie gminy ( deptak rej.ul.Szamotulskiej i rej.ul.Nowowiejskiej, krzyżówka w Witkowicach przy trasie A2)</t>
  </si>
  <si>
    <t xml:space="preserve">Umowa zlecenie z pracownikiem obsługującym toalety publiczne </t>
  </si>
  <si>
    <t>Gaz i energia w toaletach</t>
  </si>
  <si>
    <t>Dotacja dla Gminnego Ośrodka Kultury w Kaźmierzu</t>
  </si>
  <si>
    <t>Dotacja dla Biblioteki Publicznej Gminy Kaźmierz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</si>
  <si>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</si>
  <si>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</si>
  <si>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t>Energia i woda w obiektach sportowo-rekreacyjnych</t>
  </si>
  <si>
    <t>Monitorowanie obiektu , utrzymanie płyty boiska w Kaźmierzu, usługi komunalne, pozostałe usługi</t>
  </si>
  <si>
    <t>Ubezpieczenia gminnych obiektów sportowych i imprez masowych</t>
  </si>
  <si>
    <t>·       wynagrodzenie psychologa terapeuty (prowadzenie Punktu Informacyjno-Konsultacyjno-Terapeutycznego)</t>
  </si>
  <si>
    <r>
      <t>·</t>
    </r>
    <r>
      <rPr>
        <sz val="7"/>
        <rFont val="Times New Roman"/>
        <family val="1"/>
      </rPr>
      <t>       </t>
    </r>
    <r>
      <rPr>
        <sz val="12"/>
        <rFont val="Times New Roman"/>
        <family val="1"/>
      </rPr>
      <t>zakup wyposażenia do świetlicy w Chlewiskach</t>
    </r>
  </si>
  <si>
    <r>
      <t>Zadania zlecone</t>
    </r>
    <r>
      <rPr>
        <sz val="12"/>
        <rFont val="Times New Roman"/>
        <family val="1"/>
      </rPr>
      <t xml:space="preserve"> </t>
    </r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</si>
  <si>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</si>
  <si>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</si>
  <si>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</si>
  <si>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</si>
  <si>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</si>
  <si>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</si>
  <si>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</si>
  <si>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</si>
  <si>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</si>
  <si>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</si>
  <si>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</si>
  <si>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</si>
  <si>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</si>
  <si>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poniesione na działalność i utrzymanie Urzędu Gminy (opłaty pocztowe i telekomunikacyjne, za energię elektryczną i gaz oraz opłaty bankowe, zakup materiałów biurowych, środki czystości i BHP, szkolenia pracowników, czasopisma i literatura fachowa, opłaty członkowskie, ubezpieczenia, przegląd, naprawa i konserwacja wyposażenia i urządzeń)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</si>
  <si>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pracowników Urzędu Gminy oraz osób skierowanych z Powiatowego Urzędu Pracy wraz z pochodnymi, nagrody jubileuszowe oraz dodatkowe wynagrodzenie roczne, delegacje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</si>
  <si>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wydatki na sołectwa w gminie (drobne remonty budynków świetlic, energia, gaz,usł.kosiarki)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</si>
  <si>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imprez okolicznościowych: Dzień Dziecka, Dzień Kobiet, Dzień Seniora, integracyjne i  rekreacyjne na terenie sołectw gminnych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</si>
  <si>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 wydatki na remonty budynków świetlic wiejskich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</si>
  <si>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paliwo dla miejscowej jednostki policji (Umowa z Komendą Wojewódzką Policji  z dnia 02.02.2006 r.)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</si>
  <si>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konserwacja  sprzętu OC</t>
    </r>
  </si>
  <si>
    <r>
      <t>2.</t>
    </r>
    <r>
      <rPr>
        <sz val="12"/>
        <rFont val="Times New Roman"/>
        <family val="1"/>
      </rPr>
      <t xml:space="preserve"> W I półroczu 2006 r. Rada Gminy podjęła cztery uchwały zmieniające plan dochodów, wydatków, przychodów i rozchodów budżetowych: </t>
    </r>
  </si>
  <si>
    <r>
      <t>Umorzenia</t>
    </r>
    <r>
      <rPr>
        <sz val="8"/>
        <rFont val="Times New Roman CE"/>
        <family val="1"/>
      </rPr>
      <t xml:space="preserve"> - 7.427,90 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- 65.128,10                                                                                             </t>
    </r>
    <r>
      <rPr>
        <b/>
        <sz val="8"/>
        <rFont val="Times New Roman CE"/>
        <family val="0"/>
      </rPr>
      <t>Odroczenia</t>
    </r>
    <r>
      <rPr>
        <sz val="8"/>
        <rFont val="Times New Roman CE"/>
        <family val="1"/>
      </rPr>
      <t xml:space="preserve"> - 4.687,30                                                                      Wystawiono  155 upomnień na kwotę 22.966,25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</si>
  <si>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organizacj pozarządowej KKS Czarni Kaźmierz (Umowa Nr 1 /2006. z dnia 05.05.2006r.)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</si>
  <si>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Times New Roman"/>
        <family val="1"/>
      </rPr>
      <t>Energetyka Poznańska Zakład Inwestycji Energetycznych "INVECO" wykonał i przedłożył do sprawdzenia "Projekt założeń do planu zaopatrzenia w ciepło, energię elektryczną i paliwa gazowe" dla całego terenu administracyjnego Gminy Kaźmierz z prognozą do 2025r.</t>
    </r>
  </si>
  <si>
    <t>Dotacje celowe otrzymane z budżetu państwa na realizację inwestycji i zakupów inwestycyjnych własnych gmin</t>
  </si>
  <si>
    <t>Dofinansowanie projektu w ramach Priorytetu 3 z środków budżetu Państwa</t>
  </si>
  <si>
    <t>Dowożenie uczniów</t>
  </si>
  <si>
    <t>Zespoły obsługi ekonomiczno-administracyjnej szkół</t>
  </si>
  <si>
    <t>Pomoc społeczna</t>
  </si>
  <si>
    <t>Składki na ubezpieczenie zdrowotne opłacane za osoby pobierające niektóre świadczenia z pomocy społecznej oraz niektóre świadczenia rodzinne</t>
  </si>
  <si>
    <t>Zasiłki rodzinne, pielęgnacyjne i wychowawcze</t>
  </si>
  <si>
    <t>Ośrodki pomocy społecznej</t>
  </si>
  <si>
    <t>Kapitalizacja odsetek na koncie bankowym GOPS</t>
  </si>
  <si>
    <t>Usuwanie skutków klęsk żywiołowych</t>
  </si>
  <si>
    <t>Edukacyjna opieka wychowawcza</t>
  </si>
  <si>
    <t>Pomoc materialna dla uczniów</t>
  </si>
  <si>
    <t>Gospodarka komunalna i ochrona środowiska</t>
  </si>
  <si>
    <t>Gospodarka ściekowa i ochrona wód</t>
  </si>
  <si>
    <t>Fundusz Ochrony Środowiska i Gospodarki Wodnej</t>
  </si>
  <si>
    <t>0400</t>
  </si>
  <si>
    <t>Wpływy z opłaty produktowej</t>
  </si>
  <si>
    <t>OGÓŁEM</t>
  </si>
  <si>
    <t>Rozdz.</t>
  </si>
  <si>
    <t>Wydatki po zmianach</t>
  </si>
  <si>
    <t>Środki do wykorzystania</t>
  </si>
  <si>
    <t>PROJEKT</t>
  </si>
  <si>
    <t>01008</t>
  </si>
  <si>
    <t>Melioracje wodne</t>
  </si>
  <si>
    <t>Zakup materiałów i wyposażenia</t>
  </si>
  <si>
    <t>Zakup usług remontowych</t>
  </si>
  <si>
    <t>Zakup usług pozostałych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</si>
  <si>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</si>
  <si>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</si>
  <si>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</si>
  <si>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</si>
  <si>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</si>
  <si>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</si>
  <si>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</si>
  <si>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>Drogi publiczne powiatowe</t>
  </si>
  <si>
    <t>Wydatki na pomoc finansową udzielaną między jednostkami samorządu terytorialnego na dofinansowanie własnych zadań bieżących</t>
  </si>
  <si>
    <t xml:space="preserve">Różne jednostki obsługi gospodarki mieszkaniowej </t>
  </si>
  <si>
    <t xml:space="preserve">Dotacja przedmiotowa z budżetu dla zakładu budżetowego </t>
  </si>
  <si>
    <t>Wydatki na zakupy inwestycyjne jednostek budżetowych</t>
  </si>
  <si>
    <t>Działalność usługowa</t>
  </si>
  <si>
    <t>Plany zagospodarowania przestrzennego</t>
  </si>
  <si>
    <t>Opracowania geodezyjne i kartograficzne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</si>
  <si>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</si>
  <si>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</si>
  <si>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</si>
  <si>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</si>
  <si>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</si>
  <si>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</si>
  <si>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</si>
  <si>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</si>
  <si>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</si>
  <si>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</si>
  <si>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</si>
  <si>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</si>
  <si>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</si>
  <si>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</si>
  <si>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</si>
  <si>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Przychody z zaciągniętych pożyczek i kredytów na rynku krajowym</t>
  </si>
  <si>
    <t>Energia</t>
  </si>
  <si>
    <t xml:space="preserve">- koszty poniesione na zakup energii elektrycznej dla GOK </t>
  </si>
  <si>
    <t>Woda</t>
  </si>
  <si>
    <t>- koszty zakupu gazu propan-butan w butlach dla potrzeb kuchni w GOK</t>
  </si>
  <si>
    <t>Usługi:</t>
  </si>
  <si>
    <t>Większość  wydatków (bez inwestycji) stanowią płace i ich pochodne nauczycieli</t>
  </si>
  <si>
    <t>- zakup energii</t>
  </si>
  <si>
    <t>- wynagrodzenie dla członków komisji kwalifikacyjnych</t>
  </si>
  <si>
    <t>- koszty wywozu nieczystości stałych i płynnych</t>
  </si>
  <si>
    <t>- koszty najmu budynku GOK</t>
  </si>
  <si>
    <t>- koszty opłat pocztowych</t>
  </si>
  <si>
    <t>- koszty składu, wydruku, kserokopii afiszy, plakatów informacyjnych i reklamowych dla GOK</t>
  </si>
  <si>
    <r>
      <t>Szkoła Podstawowa w Bytyniu</t>
    </r>
    <r>
      <rPr>
        <sz val="12"/>
        <color indexed="12"/>
        <rFont val="Times New Roman"/>
        <family val="1"/>
      </rPr>
      <t xml:space="preserve"> </t>
    </r>
  </si>
  <si>
    <t xml:space="preserve">Oddział Przedszkolny w Gaju Wielkim </t>
  </si>
  <si>
    <t>- koszty bankowej obsługi rachunku bieżącego GOK</t>
  </si>
  <si>
    <t>(konserwacja drenowania rowu Bt-13 oraz odbudowa rowu P5-1 i P-5 Brzezno-Chlewiska wraz z siecią drenarską)</t>
  </si>
  <si>
    <t>Dotacje celowe otrzymane z budżetu na finansowanie lub dofinansowanie kosztów realizacji inwestycji i zakupów inwestycyjnych zakładów budżetowych</t>
  </si>
  <si>
    <t>Wybory Prezydenta RP</t>
  </si>
  <si>
    <t>Wybory do Sejmu i Senatu</t>
  </si>
  <si>
    <t>INWESTYCJE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</si>
  <si>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</si>
  <si>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</si>
  <si>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</si>
  <si>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</si>
  <si>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</si>
  <si>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</si>
  <si>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</si>
  <si>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</si>
  <si>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</si>
  <si>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</si>
  <si>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</si>
  <si>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</si>
  <si>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Inne formy pomocy dla uczniów</t>
  </si>
  <si>
    <t>Pomoce naukowe i dydaktyczne, książki</t>
  </si>
  <si>
    <t>Dotacja dla placówki niepublicznej</t>
  </si>
  <si>
    <t>Zespoły ekonomiczno-administracyjne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</si>
  <si>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</si>
  <si>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</si>
  <si>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</si>
  <si>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</si>
  <si>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</si>
  <si>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Wydatki na pomoc finansową udzielaną między jednostkami samorządu terytorialnego na dofinansowanie własnych zadań inwestycyjnych i zakupów inwestycyjnych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</si>
  <si>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</si>
  <si>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</si>
  <si>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</si>
  <si>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</si>
  <si>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za okres od 01.01.2006r. – 30.06.2006r.</t>
  </si>
  <si>
    <t>- materiały biurowe</t>
  </si>
  <si>
    <t>- środki czystości</t>
  </si>
  <si>
    <t>- czasopisma, biuletyny, znaczki</t>
  </si>
  <si>
    <t xml:space="preserve">         8.771.263,00 zł </t>
  </si>
  <si>
    <t>Ostatecznie plan budżetu na dzień 30.06.2006 r. po stronie</t>
  </si>
  <si>
    <r>
      <t>4.</t>
    </r>
    <r>
      <rPr>
        <sz val="12"/>
        <rFont val="Times New Roman"/>
        <family val="1"/>
      </rPr>
      <t xml:space="preserve"> Wydatki budżetu gminy w I półroczu 2006 r. wykonano w wysokości </t>
    </r>
  </si>
  <si>
    <r>
      <t>3.</t>
    </r>
    <r>
      <rPr>
        <sz val="12"/>
        <rFont val="Times New Roman"/>
        <family val="1"/>
      </rPr>
      <t xml:space="preserve"> Dochody budżetu gminy w I półroczu 2006 r. wykonano w wysokości </t>
    </r>
  </si>
  <si>
    <t>mapy do Krajowego Programu Oczyszczania Ścieków</t>
  </si>
  <si>
    <t>Plan przychodów/wydatków w 2006r.</t>
  </si>
  <si>
    <t xml:space="preserve">pozostałe dochody </t>
  </si>
  <si>
    <t>WYDATKI GMINY KAŹMIERZ W 2006r.</t>
  </si>
  <si>
    <t>Zał.Nr 2 do Uchwały Nr XLII/254/05 Rady Gminy Kaźmierz z dnia 21.12.2005r</t>
  </si>
  <si>
    <t>Zał.Nr 2</t>
  </si>
  <si>
    <t xml:space="preserve">Plan wydatków budżetowych na 2006r. </t>
  </si>
  <si>
    <t xml:space="preserve">Plan wydatków budżetowych na 2006r.  </t>
  </si>
  <si>
    <t>Zmiany</t>
  </si>
  <si>
    <t>Wykonanie  na 30.06.2006</t>
  </si>
  <si>
    <t>Uchwała nr XLIV/269/06 Rady Gminy Kaźmierz z dn.09.03.2006</t>
  </si>
  <si>
    <t>Uchwała nr XLV/271/06 Rady Gminy Kaźmierz z dn.31.03.2006r.</t>
  </si>
  <si>
    <t>Uchwała nr XLVII/278/06 Rady Gminy Kaźmierz z dn.22.05.2006r.</t>
  </si>
  <si>
    <t>Uchwała nr XLIX/281/06 Rady Gminy Kaźmierz z dn.26.06.2006</t>
  </si>
  <si>
    <t>Uchwała nr ______ Rady Gminy Kaźmierz z dn.______</t>
  </si>
  <si>
    <t>Plan zgłoszony przez Wydziały UG i Jednostki organmizacyjne</t>
  </si>
  <si>
    <t>Zarządzenie Wójta</t>
  </si>
  <si>
    <t>Zmiany Rady Gminy Kaźmierz</t>
  </si>
  <si>
    <r>
      <t xml:space="preserve">Organizacja Dożynek Gminnych 2006r. </t>
    </r>
    <r>
      <rPr>
        <b/>
        <sz val="10"/>
        <rFont val="Times New Roman CE"/>
        <family val="0"/>
      </rPr>
      <t>15.000,00</t>
    </r>
    <r>
      <rPr>
        <sz val="10"/>
        <rFont val="Times New Roman CE"/>
        <family val="1"/>
      </rPr>
      <t xml:space="preserve">, konkurs Piękna Wieś </t>
    </r>
    <r>
      <rPr>
        <b/>
        <sz val="10"/>
        <rFont val="Times New Roman CE"/>
        <family val="0"/>
      </rPr>
      <t>3.000,00</t>
    </r>
  </si>
  <si>
    <t>Zakup drzewek, palików, środków ochrony roślin</t>
  </si>
  <si>
    <t>Wydatki na pomoc finansową  udzielaną między jednistkami samorządu terytorialnego na dofinansowanie własnych zadań inwestycyjnych i zakupów inwestycyjnych.</t>
  </si>
  <si>
    <t>Zakup tabliczek z nazwami ulic i numerami domów</t>
  </si>
  <si>
    <t>Plan zagospodarowania przestrzennego</t>
  </si>
  <si>
    <t xml:space="preserve">Diety radnych </t>
  </si>
  <si>
    <t>Kontakty partnerskie z Bystrzycą Kłodzką, Ujściem i Litwą, art.związane z obsługą Biura Rady, oraz zakup mebli do sali sesyjnej i prenumerata Współnoty</t>
  </si>
  <si>
    <t xml:space="preserve">Wynagrodzenia pracowników UG i bezrobotnych, program Szwajcarski Zegarek, nagrody jubileuszowe, odprawy emerytalne </t>
  </si>
  <si>
    <t xml:space="preserve">Koszty usług telekomunikacyjnych, pocztowych, bankowych, ochrona obiektu, szkolenia pracowników </t>
  </si>
  <si>
    <t>Zakup usług dostępu do sieci Internet</t>
  </si>
  <si>
    <r>
      <t xml:space="preserve">Delegacje </t>
    </r>
    <r>
      <rPr>
        <b/>
        <sz val="10"/>
        <rFont val="Times New Roman CE"/>
        <family val="0"/>
      </rPr>
      <t>8.000,00,</t>
    </r>
    <r>
      <rPr>
        <sz val="10"/>
        <rFont val="Times New Roman CE"/>
        <family val="1"/>
      </rPr>
      <t xml:space="preserve"> ryczałty samochodowe </t>
    </r>
    <r>
      <rPr>
        <b/>
        <sz val="10"/>
        <rFont val="Times New Roman CE"/>
        <family val="0"/>
      </rPr>
      <t>22.000,00</t>
    </r>
  </si>
  <si>
    <r>
      <t xml:space="preserve">Składki WOKIS </t>
    </r>
    <r>
      <rPr>
        <b/>
        <sz val="10"/>
        <rFont val="Times New Roman CE"/>
        <family val="0"/>
      </rPr>
      <t>5.700,00</t>
    </r>
    <r>
      <rPr>
        <sz val="10"/>
        <rFont val="Times New Roman CE"/>
        <family val="1"/>
      </rPr>
      <t xml:space="preserve">, ZGWRP </t>
    </r>
    <r>
      <rPr>
        <b/>
        <sz val="10"/>
        <rFont val="Times New Roman CE"/>
        <family val="0"/>
      </rPr>
      <t>1.800,00</t>
    </r>
    <r>
      <rPr>
        <sz val="10"/>
        <rFont val="Times New Roman CE"/>
        <family val="1"/>
      </rPr>
      <t xml:space="preserve">, SGiPW </t>
    </r>
    <r>
      <rPr>
        <b/>
        <sz val="10"/>
        <rFont val="Times New Roman CE"/>
        <family val="0"/>
      </rPr>
      <t>1.800,00</t>
    </r>
    <r>
      <rPr>
        <sz val="10"/>
        <rFont val="Times New Roman CE"/>
        <family val="1"/>
      </rPr>
      <t xml:space="preserve">, ubezpieczenie sprzętu i budynków </t>
    </r>
    <r>
      <rPr>
        <b/>
        <sz val="10"/>
        <rFont val="Times New Roman CE"/>
        <family val="0"/>
      </rPr>
      <t>6.900,00</t>
    </r>
    <r>
      <rPr>
        <sz val="10"/>
        <rFont val="Times New Roman CE"/>
        <family val="1"/>
      </rPr>
      <t xml:space="preserve">, składki z tyt.przystąpienia do Stowarzyszenia Ekologocznych Gmin ZACHÓD </t>
    </r>
    <r>
      <rPr>
        <b/>
        <sz val="10"/>
        <rFont val="Times New Roman CE"/>
        <family val="0"/>
      </rPr>
      <t>1.000,00</t>
    </r>
  </si>
  <si>
    <t>Wydatki związane z: akcją Sprzątanie Świata, realizacją Gminnego Programu Ochrony Środowiska i Planu Gospodarki Odpadami, ochroną kasztanowców, obchodami Dnia Ziemi, pozostałymi wydatkami związanymi z ochroną środowiska na terenie gminy</t>
  </si>
  <si>
    <r>
      <t xml:space="preserve">Materiały na akcję "Sprzątanie Świata 2004" oraz na Dzień Ziemi </t>
    </r>
    <r>
      <rPr>
        <b/>
        <sz val="10"/>
        <rFont val="Times New Roman CE"/>
        <family val="1"/>
      </rPr>
      <t>4.600,00</t>
    </r>
    <r>
      <rPr>
        <sz val="10"/>
        <rFont val="Times New Roman CE"/>
        <family val="1"/>
      </rPr>
      <t xml:space="preserve">, realizacja Gminnego Programu Ochrony Środowiska </t>
    </r>
    <r>
      <rPr>
        <b/>
        <sz val="10"/>
        <rFont val="Times New Roman CE"/>
        <family val="1"/>
      </rPr>
      <t>17.500,00</t>
    </r>
    <r>
      <rPr>
        <sz val="10"/>
        <rFont val="Times New Roman CE"/>
        <family val="1"/>
      </rPr>
      <t xml:space="preserve">, przegląd ekologiczny i prace rekultywacyjne wysypiska </t>
    </r>
    <r>
      <rPr>
        <b/>
        <sz val="10"/>
        <rFont val="Times New Roman CE"/>
        <family val="1"/>
      </rPr>
      <t>10.100,00</t>
    </r>
    <r>
      <rPr>
        <sz val="10"/>
        <rFont val="Times New Roman CE"/>
        <family val="1"/>
      </rPr>
      <t xml:space="preserve">, pozostałe wydatki </t>
    </r>
    <r>
      <rPr>
        <b/>
        <sz val="10"/>
        <rFont val="Times New Roman CE"/>
        <family val="1"/>
      </rPr>
      <t>4.700,00</t>
    </r>
  </si>
  <si>
    <t>Zaplanowane środki przeznaczono na:</t>
  </si>
  <si>
    <t>edukacja ekologiczna</t>
  </si>
  <si>
    <t>zagospodarowanie i utrzymanie terenów zielonych</t>
  </si>
  <si>
    <t>pojemniki do segregacji odpadów</t>
  </si>
  <si>
    <t>wycinka drzew</t>
  </si>
  <si>
    <t>prowizje bankowe</t>
  </si>
  <si>
    <t>Zał.nr 6</t>
  </si>
  <si>
    <t>- koszty najmu pomieszczeń filii biblitecznych w Bytyniu i Gaju Wielkim</t>
  </si>
  <si>
    <t>- ochrona obiektu</t>
  </si>
  <si>
    <t>- koszty ochrony obiektu Biblioteki</t>
  </si>
  <si>
    <t>- naprawa sprzętu</t>
  </si>
  <si>
    <t>- pozostłe usługi</t>
  </si>
  <si>
    <t>Wynagrodzenia</t>
  </si>
  <si>
    <t>- osobowe</t>
  </si>
  <si>
    <t>- koszty wynagrodzenia pracowników Biblioteki w Kaźmierzu, Bytyniu i Gaju Wielkim,</t>
  </si>
  <si>
    <t>- zlecenia</t>
  </si>
  <si>
    <t>Ubezpieczenia społeczne</t>
  </si>
  <si>
    <t>Odpisy na ZFŚS</t>
  </si>
  <si>
    <t>Pozostałe świadczenia na rzecz pracowników</t>
  </si>
  <si>
    <t>Usługi bankowe i inne opłaty</t>
  </si>
  <si>
    <t>- koszty bankowej obsługi rachunku bankowego Biblioteki, prowizje od przelewów</t>
  </si>
  <si>
    <t>Pozostałe koszty</t>
  </si>
  <si>
    <t>Amortyzacja środków trwałych</t>
  </si>
  <si>
    <t>- koszty amortyzacji środków trwałych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</si>
  <si>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</si>
  <si>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</si>
  <si>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</si>
  <si>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</si>
  <si>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</si>
  <si>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Wpływy z tytułu pomocy finansowej udzielanej między jednostkami samorządu terytorialnego na dofinansowanie własnych zadań inwestycyjnych i zakupów inwestycyjnych.</t>
  </si>
  <si>
    <t>Dotacje celowe otrzymane z budżetu państwa na zadania bieżące realizowane przez gminę na podstawie porozumień z organami administracji rządowej</t>
  </si>
  <si>
    <t>Materiały melioracyjne</t>
  </si>
  <si>
    <t>Bieżące utrzymanie urządzeń melioracji wodnej, konserawcja , odmulanie dna, odbudowa skarp, wykaszanie skarp i dna, hakowanie oraz czyszczenie wylotów drenarskich.</t>
  </si>
  <si>
    <t>Koszty związane z odbiorem padliny z terenu gminy zgodnie z art..9 ust.1 i 7 ustawy z dnia 24 kwietnia 1997r. o zwalczaniu chorób zakaźnych zwierząt (Dz.U. z 1999r. Nr 66 poz.752 z późn.zmianami) Umowa z firmą STRUGA S.A.</t>
  </si>
  <si>
    <t>Odpis w wysokości 2% należne izbom rolniczym art..35 ust.1 pkt1 ustawy z dnia 14.12.1995r. o izbach rolniczych (t.j. Dz.U. z 2002r. Nr101, poz 927 ze zm.)</t>
  </si>
  <si>
    <t>Cięcie i wycinka drzew</t>
  </si>
  <si>
    <t>Dotacja przedmiotowa dla ZUK w Kaźmierzu, zgodnie z uchwałą Nr XVII/115/03 Rady Gminy Kaźmierz z dn.30.12.2003r.,zmienionej uchwałą nr XVIII/121/04 Rady Gminy Kaźmierz z dn.05.03.2004</t>
  </si>
  <si>
    <t>Ogłoszenia o przetargach, wycena nieruchomości, podziały nieruchomości, opłaty sądowe za założenie księgi wieczystej i za wypis prawa własności, mapy, wyciągi, odtworzenie granic, koszty komunalizacyjne</t>
  </si>
  <si>
    <t>Przebudowa płyty Rynku w Kaźmierzu</t>
  </si>
  <si>
    <t>Usługi geodezyjne i urbanistyczne</t>
  </si>
  <si>
    <t>Realizacja zadań rządowych zleconych gminom</t>
  </si>
  <si>
    <t>Usługi związane z obsługą Biura Rady, usługi poligraficzne związane z wydawaniem Obserwatora</t>
  </si>
  <si>
    <t>Koszty delegacji  krajowych</t>
  </si>
  <si>
    <t>Koszty delegacji zagranicznych</t>
  </si>
  <si>
    <t>Środki Bhp, ekwiwalenty za pranie</t>
  </si>
  <si>
    <t xml:space="preserve"> Art.biurowe,wydatki USC, wydatki sekretariatu, zakup wyposażenia, dodatkowego oprogramowania</t>
  </si>
  <si>
    <t>Energia, woda, gaz, dostawa energii cieplnej</t>
  </si>
  <si>
    <t>Konserwacja centrali telefonicznej, konserwacja systemu alarmowego, urządzeń klimatyzacji oraz pozostałego sprzętu biurowego i wposażenia oraz bieżące naperawy i remonty</t>
  </si>
  <si>
    <t xml:space="preserve">Zakup paliwa dla jednostki policji </t>
  </si>
  <si>
    <t>Dotacja dla jednostek OSP na zakup sprzetu pożarniczego i ratowniczego z dotacjami z MSWiA, ZGł.ZOSP, ZW ZOSP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</si>
  <si>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</si>
  <si>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Naprawy pojazdów i sprzętu pożarniczego, prace remontowe strażnic w Kopaninie i Kaźmierzu (prace elewacyjne)</t>
  </si>
  <si>
    <t>Badania i opłaty, przeglądy i badania techniczne pojazdów, badania okresowe kierowców i strażaków</t>
  </si>
  <si>
    <t xml:space="preserve">Koszty delegacji </t>
  </si>
  <si>
    <t>ubezpieczenia  AC, OC, NW pojazdów i NW strażaków</t>
  </si>
  <si>
    <t>Realizacja zadań rządowych zleconych gminom z zakresu obrony cywilnej</t>
  </si>
  <si>
    <t>Wynagrodzenie inkasentów</t>
  </si>
  <si>
    <t>Zakup druków</t>
  </si>
  <si>
    <t>Opłaty komornicze</t>
  </si>
  <si>
    <t>Odsetki kredytowe</t>
  </si>
  <si>
    <t>Dodatki mieszkaniowe, dodatki wiejskie, środki Bhp dla nauczycieli i pracowników oświaty</t>
  </si>
  <si>
    <t>Zakup lektur szkolnych, pomocy dydaktycznych.</t>
  </si>
  <si>
    <r>
      <t>Umorzenia</t>
    </r>
    <r>
      <rPr>
        <sz val="8"/>
        <rFont val="Times New Roman CE"/>
        <family val="1"/>
      </rPr>
      <t xml:space="preserve"> - 22.313,90 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- 66.790,05                                                                       Wystawiono  16 upomnień na kwotę 70.820,20</t>
    </r>
  </si>
  <si>
    <r>
      <t>Zaległości</t>
    </r>
    <r>
      <rPr>
        <sz val="8"/>
        <rFont val="Times New Roman CE"/>
        <family val="1"/>
      </rPr>
      <t xml:space="preserve"> - 25.460,54                                                                                                    Wystawiono 4 upomnienia na kwotę 25.211,84</t>
    </r>
  </si>
  <si>
    <r>
      <t>Zaległości</t>
    </r>
    <r>
      <rPr>
        <sz val="8"/>
        <rFont val="Times New Roman CE"/>
        <family val="1"/>
      </rPr>
      <t xml:space="preserve"> - 2.005,00                                                                      Wystawiono 1 upomnienie na kwotę 2.005,00</t>
    </r>
  </si>
  <si>
    <r>
      <t>Umorzenia</t>
    </r>
    <r>
      <rPr>
        <sz val="8"/>
        <rFont val="Times New Roman CE"/>
        <family val="1"/>
      </rPr>
      <t xml:space="preserve"> - 762,10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- 17.419,17                                                                      Wystawiono  147 upomnień na kwotę 37.902,88</t>
    </r>
  </si>
  <si>
    <r>
      <t>Umorzenia</t>
    </r>
    <r>
      <rPr>
        <sz val="8"/>
        <rFont val="Times New Roman CE"/>
        <family val="1"/>
      </rPr>
      <t xml:space="preserve"> - 500,00                                                                                                                                                                </t>
    </r>
    <r>
      <rPr>
        <b/>
        <sz val="8"/>
        <rFont val="Times New Roman CE"/>
        <family val="0"/>
      </rPr>
      <t>Zaległości</t>
    </r>
    <r>
      <rPr>
        <sz val="8"/>
        <rFont val="Times New Roman CE"/>
        <family val="1"/>
      </rPr>
      <t xml:space="preserve"> - 2.405,00                                                                                         </t>
    </r>
    <r>
      <rPr>
        <b/>
        <sz val="8"/>
        <rFont val="Times New Roman CE"/>
        <family val="0"/>
      </rPr>
      <t>Odroczenia</t>
    </r>
    <r>
      <rPr>
        <sz val="8"/>
        <rFont val="Times New Roman CE"/>
        <family val="1"/>
      </rPr>
      <t xml:space="preserve"> - 600,00                                                                      Wystawiono  11 upomnień na kwotę 6.080,00</t>
    </r>
  </si>
  <si>
    <t xml:space="preserve">Wykonanie zgodne z sprawozdaniem Urzędu Skarbowego. </t>
  </si>
  <si>
    <t>Dochody za znaki skarbowe, opłaty wekslowe, opłaty za pełnomocnictwo</t>
  </si>
  <si>
    <t xml:space="preserve">Wpływy z opłaty eksploatacyjnej za wydobyte kopaliny ze złóż na terenie Gminy Kaźmierz za IV kwartał 2005r. oraz za 2 kwartały roku 2006. </t>
  </si>
  <si>
    <t>Uchwała nr XV/101/03 Rady Gminy Kaźmierz z dnia 27 listopada 2003r.</t>
  </si>
  <si>
    <t>0450</t>
  </si>
  <si>
    <t>Wpływy z opłaty administracyjnej za czynności urzędowe</t>
  </si>
  <si>
    <t>Za wyrys i wypis z planu zagospodarowania przestrzennego,Uchwała XV/103/03 Rady Gminy Kaźmierz z dnia 27 listpada 2003r.</t>
  </si>
  <si>
    <t>Odsetki za nieterminowe regulowanie należności podatkowych</t>
  </si>
  <si>
    <t>Środki z kapitalizacji odsetek na kontach bankowych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</si>
  <si>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</si>
  <si>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</si>
  <si>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</si>
  <si>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</si>
  <si>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0830</t>
  </si>
  <si>
    <t>Wpływy z usług</t>
  </si>
  <si>
    <t>0970</t>
  </si>
  <si>
    <t>Wpływy z różnych dochodów</t>
  </si>
  <si>
    <t>Gimnazja</t>
  </si>
  <si>
    <t>Dofinansowanie projektu w ramach Priorytetu 3 z środków ZPORR</t>
  </si>
  <si>
    <t>Od 1 kwietnia br. podniesiono stawki na zaopatrzenie w wodę dla gospodarstw domowych    o 0,06 zł za 1 metr sześcienny + VAT oraz opłata stała wzrosła o 0,50 zł</t>
  </si>
  <si>
    <r>
      <t xml:space="preserve">Dochody za:                                                        * wpis do ewidencji działalności gospodarczej </t>
    </r>
    <r>
      <rPr>
        <b/>
        <sz val="8"/>
        <rFont val="Times New Roman CE"/>
        <family val="1"/>
      </rPr>
      <t>3.150,00</t>
    </r>
    <r>
      <rPr>
        <sz val="8"/>
        <rFont val="Times New Roman CE"/>
        <family val="1"/>
      </rPr>
      <t xml:space="preserve">                                                                                                               * zajęcie pasa drogowego </t>
    </r>
    <r>
      <rPr>
        <b/>
        <sz val="8"/>
        <rFont val="Times New Roman CE"/>
        <family val="1"/>
      </rPr>
      <t>2.845,23</t>
    </r>
    <r>
      <rPr>
        <sz val="8"/>
        <rFont val="Times New Roman CE"/>
        <family val="1"/>
      </rPr>
      <t xml:space="preserve">                   * opłaty adiacenckie </t>
    </r>
    <r>
      <rPr>
        <b/>
        <sz val="8"/>
        <rFont val="Times New Roman CE"/>
        <family val="1"/>
      </rPr>
      <t>41.330,40</t>
    </r>
    <r>
      <rPr>
        <sz val="8"/>
        <rFont val="Times New Roman CE"/>
        <family val="1"/>
      </rPr>
      <t xml:space="preserve">                                * opłaty planistyczne </t>
    </r>
    <r>
      <rPr>
        <b/>
        <sz val="8"/>
        <rFont val="Times New Roman CE"/>
        <family val="1"/>
      </rPr>
      <t>32.157,70</t>
    </r>
    <r>
      <rPr>
        <sz val="8"/>
        <rFont val="Times New Roman CE"/>
        <family val="1"/>
      </rPr>
      <t xml:space="preserve"> (zaległości 280.113,97)                                                                              * inne </t>
    </r>
    <r>
      <rPr>
        <b/>
        <sz val="8"/>
        <rFont val="Times New Roman CE"/>
        <family val="1"/>
      </rPr>
      <t>37.100,00</t>
    </r>
  </si>
  <si>
    <t>Udział Gminy w podatku dochodowym od osób fizycznych ( plan załącznik do pisma Ministra Finansów z dnia 14.03.2006r., znak ST3-4820-5/2006)</t>
  </si>
  <si>
    <t xml:space="preserve">Udział Gminy w podatku dochodowym od osób prawnych. </t>
  </si>
  <si>
    <t>Subwencja oświatowa (plan załącznik do pisma Ministra Finansów z dnia 14.03.2006r., znak ST3-4820-5/2006)</t>
  </si>
  <si>
    <t>Subwencja wyrównawcza (plan załącznik do pisma Ministra Finansów z dnia 14.03.2006r., znak ST3-4820-5/2006)</t>
  </si>
  <si>
    <t>Subwencja równoważąca (plan załącznik do pisma Ministra Finansów z dnia 14.03.2006r., znak ST3-4820-5/2006)</t>
  </si>
  <si>
    <t>Środki z kapitalizacji odsetek na kontach bankowych. Plan przyjęty na bazie wykonania za rok 2005</t>
  </si>
  <si>
    <t>Dochody z tytułu wynajmu sali gimnastycznej</t>
  </si>
  <si>
    <t>- naprawa instalacji sanitarnej, docieplenie ściany w toalecie GOK,                                                                          - naprawa ogrzewania elektrycznego, wymiana wyłącznika oświetlenia w kuchni i gab. GOK                                                                                           - naprawa telewizora, szafy chłodniczej</t>
  </si>
  <si>
    <t>Wywóz nieczystości</t>
  </si>
  <si>
    <t>Wynajem lokalu</t>
  </si>
  <si>
    <t>Abonament i rozmowy telefoniczne</t>
  </si>
  <si>
    <t>- koszty abonamentu i rozmów telefonicznych</t>
  </si>
  <si>
    <t>Usługi pocztowe</t>
  </si>
  <si>
    <t>Usługi drukarskie</t>
  </si>
  <si>
    <t>Oprawy muzyczne imprez artystycznych, koncerty, dożynki</t>
  </si>
  <si>
    <t>- koszty organizacji koncertów edukacyjnych, estradowych, widowisk teatralnych, audycji muzycznych, recitalu na Kaziuki, obsługi muzycznej imprez</t>
  </si>
  <si>
    <t>Usługi bankowe</t>
  </si>
  <si>
    <t>Inne usługi</t>
  </si>
  <si>
    <t>- koszty patrolowania obiektu GOK, czynszu za barek i pompkę Daru Natury, przeglądu gaśnic, wywołania zdjęć z imprez kulturalnych, usług kominiarskich, prac malarskich w sali GOK (1200 zł), szkolenia z rachunkowości</t>
  </si>
  <si>
    <t>Wynagrodzenia:</t>
  </si>
  <si>
    <t>pracowników zatrudnionych na umowę o pracę bez pochodnych</t>
  </si>
  <si>
    <t>- koszty wynagrodzenia pracowników bez pochodnych</t>
  </si>
  <si>
    <t>pracowników zatrudnionych na umowę zlecenie i o dzieło bez pochodnych</t>
  </si>
  <si>
    <t>-koszty wynagrodzenia z tytułu umów zlecenia (prowadzenie księgowości 4200zł; koncerty operetkowe 2500 zł, malowanie elewcji GOK 1600 zł, prowadzenie zajęć plastycznych 320 zł,  warsztaty gitarowe 300 zł);                                                                                        - koszty wynagrodzenia z tytułu umów o dzieło (występ cyrkowy 1000 zł)</t>
  </si>
  <si>
    <t>Pochodne od wynagrodzeń płatne przez pracodawcę</t>
  </si>
  <si>
    <t xml:space="preserve"> - pochodne od wynagrodzeń pracowników zatrudnionych na umowę o pracę, na umowę zlecenie i o dzieło</t>
  </si>
  <si>
    <t>- koszty ubezpieczenia OC budynku GOK i wyposażenia</t>
  </si>
  <si>
    <t>Dochody własne</t>
  </si>
  <si>
    <t>- przychody z opłaty za ognisko muzyczne, kółko dziennikarskie</t>
  </si>
  <si>
    <t>- przychody finansowe z kapitalizacji odsetek ze środków na rachunku bankowym GOK</t>
  </si>
  <si>
    <t>% wykonania planu na dzień 30.06.2006r.</t>
  </si>
  <si>
    <t>- koszty poniesione na reprezentację: artykuły spożywcze, nagrody dla dzieci uczestniczących w konkursach, kwiaty                                                                                                                                                                                                                     - wymiana przepływowego podgrzewacza wody w toalecie,                                                                                                            - wymiana aparatu telefonicznego na bezprzewodowy</t>
  </si>
  <si>
    <t>Informacja o realizacji inwestycji</t>
  </si>
  <si>
    <t xml:space="preserve">Plan na 2006 rok </t>
  </si>
  <si>
    <t>Wykonanie planu na dzień 30.06.2006</t>
  </si>
  <si>
    <t>- koszty zakupu znaczków; prasy (dzienniki, tygodniki, miesięczniki, prasa regionalna) dla biblioteki  i dwóch filii bibliotecznych,</t>
  </si>
  <si>
    <t xml:space="preserve">- materiały na cele naprawcze, materiały dekoracyjne, artykuły spożywcze na spotkania autorskie, </t>
  </si>
  <si>
    <t>- koszty zakupu książek</t>
  </si>
  <si>
    <t>- elektrycza</t>
  </si>
  <si>
    <t>- konserwacja ksero, prace systemowe - komputery, przegląd gaśnic</t>
  </si>
  <si>
    <t>-koszty usług fotograficznych,wydanie książki,</t>
  </si>
  <si>
    <t>- koszty wynagrodzenia z tytułu umów zlecenia, umów o dzieło  (prowadzenie księgowości, spotkania autorskie,</t>
  </si>
  <si>
    <t xml:space="preserve">- koszty ubezpieczeń społecznych: emetalne, rentowe, wypadkowe oraz Fundusz Pracy </t>
  </si>
  <si>
    <t>- koszty świadczeń bhp (mydło, herbata,), koszty zakupu wody Dar Natury, opłata za szkolenia</t>
  </si>
  <si>
    <t>- koszty ubezpieczenia sprzętu (komputery, kserokopiarka, drukarki)- 302,00, opłata z tytułu trwałego użytkowania nieruchomości za 2006 rok 586,89</t>
  </si>
  <si>
    <t xml:space="preserve">Dotacja Urzędu Gminy w Kaźmierzu </t>
  </si>
  <si>
    <t xml:space="preserve">Stan środków pieniżęnych na koncie bankowym - 53,31 zł. </t>
  </si>
  <si>
    <t>% wykonania planu na dzień 30.06.2006</t>
  </si>
  <si>
    <t>Plan przychodów i kosztów Gminnej Biblioteki Publicznej w Kaźmierzu na rok 2006 i wykonanie na dzień 30.06.2006 r</t>
  </si>
  <si>
    <t xml:space="preserve">Stan zobowiązań Biblioteki Publicznej Gminy Kaźmierz na dzień 30.06.2006 - 5.835,70  (zobowiązania z tytułu ubezpieczeń społecznych - 5.049,70, zobowiązania z tyt. rozrach. z budżetem 786,00). </t>
  </si>
  <si>
    <t>Opis wykonania przychodów w I półroczu  2006 r.</t>
  </si>
  <si>
    <t>Opis poszczególnych kosztów w I półroczu 2006 r.</t>
  </si>
  <si>
    <t>- koszty używania prywatnych samochowów do celów służbowych - 1.036,67 koszty delegacji - 185,97,</t>
  </si>
  <si>
    <t>należności z tytułu wieczystego użytkowania</t>
  </si>
  <si>
    <t>należności z tytułu opłaty za trwały zarząd</t>
  </si>
  <si>
    <t xml:space="preserve">należność z tytułu sprzedaży ratalnej </t>
  </si>
  <si>
    <t>należność z tytułu dzierżawy gruntów rolnych</t>
  </si>
  <si>
    <t>należność z tytułu odsetek od nieterminowych wpłat za dzierżawę gruntów rolnych</t>
  </si>
  <si>
    <t>należność z tytułu odsetek od nieterminowych wpłat rat za wykup nieruchomości</t>
  </si>
  <si>
    <t>należność z tytułu odsetek od nieterminowych wpłat za wieczyste użytkowanie</t>
  </si>
  <si>
    <t>należność z tytułu odsetek należnych za sprzedaż ratalną nieruchomości wg umów</t>
  </si>
  <si>
    <t>5% za wydane dowody osobiste</t>
  </si>
  <si>
    <t>należności z tytułu podatku od działalności gospodarczej osób fizycznych, opłacanego w formie karty podatkowej</t>
  </si>
  <si>
    <t>należności z tytułu podatku od nieruchomości</t>
  </si>
  <si>
    <t>należności z tytułu podatku rolnego</t>
  </si>
  <si>
    <t>należności z tytułu podatku leśnego</t>
  </si>
  <si>
    <t>należności z tytułu podatku od środków transportowych</t>
  </si>
  <si>
    <t>należności z tytułu podatku od spadków i darowizn</t>
  </si>
  <si>
    <t>należności z tytułu podatku od czynności cywilnoprawnych</t>
  </si>
  <si>
    <t>należność z tytułu odsetek od nieterminowych wpłat należności podatkowych</t>
  </si>
  <si>
    <t>należności z tytułu opłaty planistycznej</t>
  </si>
  <si>
    <t>należność z tytułu odsetek od nieterminowych wpłat opłaty planistycznej</t>
  </si>
  <si>
    <t>należności z tytułu podatku dochodowego od osób prawnych</t>
  </si>
  <si>
    <t>należności z tytułu umowy nr Z/2.30/III/3.5.1/346/04/U/46/05</t>
  </si>
  <si>
    <t>należności z tytułu rozrachunków publiczno-prawnych</t>
  </si>
  <si>
    <t>zobowiązania z tytułu rozrachunków publiczno-prawnych</t>
  </si>
  <si>
    <t>zobowiązania z tytułu ubezpieczeń społecznych</t>
  </si>
  <si>
    <t>zobowiązania z tytułu rozrachunków z budżetem</t>
  </si>
  <si>
    <t>zobowiązania z tytułu pozostałych rozrachunków z pracownikami</t>
  </si>
  <si>
    <r>
      <t xml:space="preserve">Przychody wykonano w wysokości          </t>
    </r>
    <r>
      <rPr>
        <b/>
        <sz val="12"/>
        <rFont val="Times New Roman"/>
        <family val="1"/>
      </rPr>
      <t>23.681,50 zł</t>
    </r>
  </si>
  <si>
    <r>
      <t xml:space="preserve">10. </t>
    </r>
    <r>
      <rPr>
        <sz val="12"/>
        <rFont val="Times New Roman"/>
        <family val="1"/>
      </rPr>
      <t>Plan przychodów i kosztów Gminnej  Biblioteki  Publicznej  w  Kaźmierzu,  jego zmiany i wykonanie na dzień 30.06.2006 r. (Zał.nr 9)</t>
    </r>
  </si>
  <si>
    <r>
      <t>8.</t>
    </r>
    <r>
      <rPr>
        <sz val="12"/>
        <rFont val="Times New Roman"/>
        <family val="1"/>
      </rPr>
      <t xml:space="preserve"> Sprawozdanie z przebiegu wykonania budżetu Zakładu Usług Komunalnych w Kaźmierzu w I półroczu 2006r. przedstawia zał.nr 7</t>
    </r>
  </si>
  <si>
    <r>
      <t>7.</t>
    </r>
    <r>
      <rPr>
        <sz val="12"/>
        <rFont val="Times New Roman"/>
        <family val="1"/>
      </rPr>
      <t xml:space="preserve"> Sprawozdanie z przebiegu wykonania budżetu w I półroczu 2006r. jednostek, które utworzyły rachunki dochodów własnych przedstawia zał.nr 6</t>
    </r>
  </si>
  <si>
    <r>
      <t xml:space="preserve">11. </t>
    </r>
    <r>
      <rPr>
        <sz val="12"/>
        <rFont val="Times New Roman"/>
        <family val="1"/>
      </rPr>
      <t>Plan przychodów i kosztów  Gminnego  Ośrodka  Kultury  w  Kaźmierzu,  jego zmiany i wykonanie na dzień 30.06.2006 r. (Zał.nr 10)</t>
    </r>
  </si>
  <si>
    <t>Zał.nr 7</t>
  </si>
  <si>
    <r>
      <t xml:space="preserve">           </t>
    </r>
    <r>
      <rPr>
        <sz val="12"/>
        <rFont val="Times New Roman"/>
        <family val="1"/>
      </rPr>
      <t>Podstawą gospodarki finansowej Zakładu Usług Komunalnych jest roczny plan finansowy, obejmujący przychody i wydatki stanowiące koszty działalności oraz stan środków obrotowych i rozliczenia z budżetem.</t>
    </r>
  </si>
  <si>
    <t>Zakład budżetowy sporządza na ostatni dzień roku obrotowego, tj. na dzień 31.12. bilans ujmujący na ten dzień stan aktywów i pasywów wynikający z ksiąg rachunkowych . Bilans  zakładu, sporządzony w złotych i groszach, jest składany zarządowi samorządu terytorialnego w  terminie do dnia 31 marca roku następnego. Zakład nie sporządza rachunku zysków i strat ale ustala wynik finansowy, a jako podatnik podatku dochodowego od osób prawnych- również dochód podatkowy.</t>
  </si>
  <si>
    <t xml:space="preserve">       </t>
  </si>
  <si>
    <t xml:space="preserve"> ZUK wykonuje usługi w zakresie gospodarki komunalnej-dział 900</t>
  </si>
  <si>
    <t xml:space="preserve">      </t>
  </si>
  <si>
    <t>Łączny plan dochodów to 2.107.398,00.</t>
  </si>
  <si>
    <t xml:space="preserve">                                       Wykonanie:          305.915,34  (51,64%)</t>
  </si>
  <si>
    <t xml:space="preserve">144.804,00 </t>
  </si>
  <si>
    <t>114.200,00 (78,87%)</t>
  </si>
  <si>
    <t>Dział 600 nie jest działem dochodowym, powyższe wykonanie wynika z udzielonych dotacji a wysokie wykonanie jest skutkiem długotrwałej zimy oraz bardzo złym stanem dróg gminnych po okresie zimowym.</t>
  </si>
  <si>
    <t xml:space="preserve">                                      Wykonanie:           172.647,91 (61,22%) </t>
  </si>
  <si>
    <t>Dział 900 Rozdział 90001     Plan :          383.109,00</t>
  </si>
  <si>
    <t xml:space="preserve">                                    Wykonanie :          191.095,69 (49,88%)</t>
  </si>
  <si>
    <t>Dział 900 Rozdział 90003     Plan :           145.957,00</t>
  </si>
  <si>
    <t xml:space="preserve">                                    Wykonanie :           71.583,24 (49,04%)</t>
  </si>
  <si>
    <t>38.800,00 (70,24%)</t>
  </si>
  <si>
    <t>Dział 900 Rozdział 90095     Plan :         503.836,00</t>
  </si>
  <si>
    <t xml:space="preserve">                                    Wykonanie :         292.056,65 (57,97%)</t>
  </si>
  <si>
    <t>Notujemy ciągły wzrost ilości osób korzystających z naszych usług w zakresie wykonywania przyłączy wodociągowo-kanalizacyjnych oraz usług wykonywanych koparką JCB.</t>
  </si>
  <si>
    <t>Dział 400 Rozdział 40002      Plan :           592.435,00</t>
  </si>
  <si>
    <t xml:space="preserve">                                    Wykonanie  :           320.003,77 (54,01%)</t>
  </si>
  <si>
    <t>Dział 600 Rozdział 60016       Plan :            144.804,00</t>
  </si>
  <si>
    <t xml:space="preserve">                                      Wykonanie :              74.056,76 (51,14%)</t>
  </si>
  <si>
    <t>Dział 700 Rozdział 70005       Plan :          282.020,00</t>
  </si>
  <si>
    <t xml:space="preserve">                                    Wykonanie  :           134.576,18 (47,71%)</t>
  </si>
  <si>
    <t>Dział 900 Rozdział 90001          Plan :       383.109,00</t>
  </si>
  <si>
    <t xml:space="preserve">                                        Wykonanie :        206.885,13 (54,00%)</t>
  </si>
  <si>
    <t>Dział 900 Rozdział 90003          Plan :        146.054,00</t>
  </si>
  <si>
    <t xml:space="preserve">                                      Wykonanie   :           74.245,64 (50,83%)</t>
  </si>
  <si>
    <t xml:space="preserve">                          </t>
  </si>
  <si>
    <t>Dział 900 Rozdział 90004      Plan :        55.237,00</t>
  </si>
  <si>
    <t xml:space="preserve">                                   Wykonanie   :        23.853,57 (43,18%)</t>
  </si>
  <si>
    <t>Dział 900 Rozdział 90095      Plan :       503.739,00</t>
  </si>
  <si>
    <t xml:space="preserve">                                     Wykonanie :       287.241,85 (57,02%)</t>
  </si>
  <si>
    <t>ZA OKRES OD 01.01.2006 DO 30.06.2006</t>
  </si>
  <si>
    <t xml:space="preserve">               Plan finansowy ZUK na 2006 r. przewiduje dochody w wysokości 1.789.327,00 oraz dotację  przedmiotową z budżetu gminy na finansowanie działalności podstawowej w wysokości  318.071,00.</t>
  </si>
  <si>
    <t>Wykonanie planu na dzień 30.06.06 r. wynosi 1.186.298,83  z pobraną dotacją co stanowi  56,29 % planu.</t>
  </si>
  <si>
    <t>Dział 400 Rozdział  40002       Plan :          592.435,00</t>
  </si>
  <si>
    <t xml:space="preserve">                                  Wykonanie:</t>
  </si>
  <si>
    <t xml:space="preserve">   Plan:</t>
  </si>
  <si>
    <t>Dział 700 Rozdział 70005        Plan:           282.020,00</t>
  </si>
  <si>
    <t>Wykonanie na 30 czerwca 2006r. – 1.120.862,90 (53,19 %)</t>
  </si>
  <si>
    <t>W 2006 r. zostały uporządkowane drogi pod względem zakrzaczenia i zanieczyszczenia odpadami stałymi /Dolne Pole – Chlewiska/ oraz utwardzono drogi w miejscowości Radzyny (ul. Leśna i Piaskowa).</t>
  </si>
  <si>
    <t>a)      gospodarka ściekowa- rozdział 90001</t>
  </si>
  <si>
    <t>b)      gospodarka odpadami-rozdział 90003</t>
  </si>
  <si>
    <t>c)      pozostała działalność-rozdział  90095</t>
  </si>
  <si>
    <t>d)      usługi w zakresie zaopatrywania gminy w wodę – dział 400</t>
  </si>
  <si>
    <t>e)      usługi w zakresie gospodarki mieszkaniowej – dział 700</t>
  </si>
  <si>
    <t>Od 1 kwietnia br. podniesiono stawkę za odprowadzanie ścieków dopływających z 2,80 na 2,84 za 1 metr sześcienny + VAT.</t>
  </si>
  <si>
    <t>Plan dochodów z najmu lokali mieszkalnych opracowany został na podstawie opłat czynszowych należnych  w II półroczu 2005 . Stawki opłat czynszowych wzrosły o 5%  od 1 czerwca 2006 r.</t>
  </si>
  <si>
    <t>Plan finansowy ZUK zakłada wydatki na poziomie  : 2.107.398,00</t>
  </si>
  <si>
    <t>Dział 900 Rozdział 90004         Plan:</t>
  </si>
  <si>
    <t xml:space="preserve">    55.237,00</t>
  </si>
  <si>
    <t>Nasza działalność w zakresie wywozu nieczystości stałych obejmuje część terenu gminy, dla poszczególnych sołectw został opracowany terminarz wywozu nieczystości. Zgodnie z terminarzem są realizowane usługi, realizacja ich w terminie pozwala na wykonanie planu finansowego. W przypadku nieczystości płynnych Zakład stracił głównego klienta tj. firmę Quadriga z Młodaska (myjnia samochodowa została zamknięta), brak zleceń złożył się na mniejsze wykonanie planu.</t>
  </si>
  <si>
    <t>·        §4010,4040,4110,4120 obejmuje wynagrodzenia i pochodne od wynagrodzeń,</t>
  </si>
  <si>
    <t>·        §4210 obejmuje zakup narzędzi i urządzeń niezbędnych przy prawidłowym funkcjonowaniu sieci wodociągowych,</t>
  </si>
  <si>
    <t>·        § 4260 to wydatki na zakup energii, gazu i wody dla SUW,</t>
  </si>
  <si>
    <t>·        § 4270 koszty remontów i usuwania awarii przyłączy wodociągowych, remonty pomp w SUW,</t>
  </si>
  <si>
    <t>·        § 4300 wydatki związane z wynajmowaniem sprzętu, usługi transportowe (wykonanie jest na poziomie 3,42 %, jest to związane z tym, że Zakład zakupił koparkę JCB i nie korzysta z usług innych podmiotów),</t>
  </si>
  <si>
    <t>·        § 4410 koszty podróży służbowych pracowników tego działu,</t>
  </si>
  <si>
    <t>·        § 4430 opłaty za gospodarcze korzystanie ze środowiska,</t>
  </si>
  <si>
    <t>·        § 4440 odpisy na ZFŚS,</t>
  </si>
  <si>
    <t>·        § 4530 podatek od towarów i usług (VAT).</t>
  </si>
  <si>
    <t>·        § 4010,4040,4110,4120, wynagrodzenie i pochodne od tego wynagr.-2 etat,</t>
  </si>
  <si>
    <t>·        § 4210 wydatki związane z utrzymaniem dróg : zakup cementu, żwiru, wapna, soli, znaków drogowych, niezbędnych narzędzi,</t>
  </si>
  <si>
    <t>·        § 4270,4300 koszty usług transportowych, wynajem maszyn i urządzeń,</t>
  </si>
  <si>
    <t>·        § 4410 krajowe podróże służbowe,</t>
  </si>
  <si>
    <t>·        § 4430 opł. za gospodarcze korzystanie ze środowiska,</t>
  </si>
  <si>
    <t xml:space="preserve">·        § 444 odpisy na ZFŚS,   </t>
  </si>
  <si>
    <t>·        § 4010,4040,4110,4120 koszty wynagrodzeń  oraz składki na ubezpieczenia społeczne,</t>
  </si>
  <si>
    <t>·        § 4210 wydatki związane z bieżącym utrzymaniem nieruchomości ,</t>
  </si>
  <si>
    <t>·        § 4260 energia elektryczna i gaz dot. budynków mieszkalnych, budynków gospodarczych, budynku administracyjnego (wykonanie na poziomie 61,77 % jest związane z dużymi zakupami gazu do kotłowni, okres zimowy był bardzo długi),</t>
  </si>
  <si>
    <t>·        § 4270,4300 remonty i usługi dot. administrowanych budynków,</t>
  </si>
  <si>
    <t>·        § 4410 krajowe podróże służbowe-1 etat,</t>
  </si>
  <si>
    <t>·        § 4430 opłaty z tyt. gospodarczego korzystania ze środowiska,</t>
  </si>
  <si>
    <t>·        § 444 odpisy na ZFŚSa,</t>
  </si>
  <si>
    <t>·        § 4480 podatek od nieruchomości,</t>
  </si>
  <si>
    <t>·        § 4580 pozostałe odsetki.</t>
  </si>
  <si>
    <t>·        § 4010,4110,4120 obejmuje wynagrodzenia oraz pochodne od tych wynagrodzeń- 6 etatów (pracownicy oczyszczalni),</t>
  </si>
  <si>
    <t>·        § 4210 to wydatki związane z bieżącym utrzymaniem trzech oczyszczalni ścieków, przepompowni i sieci kanalizacyjnej,</t>
  </si>
  <si>
    <t>·        § 4260 koszty zużycia energii elektrycznej trzech oczyszczalni ścieków i przepompowni, gazu w przepompowni, wody w oczyszczalniach Kiączyn i Witkowice,</t>
  </si>
  <si>
    <t>·        § 4270,4300 bieżące naprawy sprzętu-regeneracja silników, naprawy pomp, usuwanie awarii sieci kanalizacyjnych, badanie i odwadnianie osadów,</t>
  </si>
  <si>
    <t>·        § 4440 odpisy na ZFŚSa.</t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</si>
  <si>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na pokrycie wydatków związanych z dojazdem do miejscowości, w której znajduje się szkoła ( 936 świadczeń)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</si>
  <si>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wychowywanie dziecka w rodzinie wielodzietnej( 1027 świadczeń)</t>
    </r>
  </si>
  <si>
    <t>-  zasiłki pielęgnacyjne (484 świadczeń)</t>
  </si>
  <si>
    <r>
      <t xml:space="preserve">-   </t>
    </r>
    <r>
      <rPr>
        <sz val="12"/>
        <rFont val="Times New Roman"/>
        <family val="1"/>
      </rPr>
      <t>świadczenia pielęgnacyjne ( 63 świadczenia)</t>
    </r>
  </si>
  <si>
    <r>
      <t xml:space="preserve">-   </t>
    </r>
    <r>
      <rPr>
        <sz val="12"/>
        <rFont val="Times New Roman"/>
        <family val="1"/>
      </rPr>
      <t>zaliczki alimentacyjne ( 305 zaliczek)</t>
    </r>
  </si>
  <si>
    <r>
      <t xml:space="preserve">-   </t>
    </r>
    <r>
      <rPr>
        <sz val="12"/>
        <rFont val="Times New Roman"/>
        <family val="1"/>
      </rPr>
      <t>jednorazowe zapomogi z tytułu urodzenia dziecka ( 47 świadczenia)</t>
    </r>
  </si>
  <si>
    <t>Szkoła Podstawowa w Gaju Wielkim (dotacja Gminy 135.174,34)</t>
  </si>
  <si>
    <t>Szkoła Podstawowa w Sokolnikach Wielkich (dotacja Gminy 30.896,81)</t>
  </si>
  <si>
    <t>Rozdział 80103 Oddziały przedszkolne (dotacja Gminy)</t>
  </si>
  <si>
    <t>Rozdział 80104 Przedszkola (dotacja Gminy)</t>
  </si>
  <si>
    <t>Pomocą objęto 61 rodzin i wypłacono 225 świadczeń, w tym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</si>
  <si>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stałe – 43 świadczenia dla 9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</si>
  <si>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zasiłek okresowy - 149 świadczeń dla 46 rodzin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</si>
  <si>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składka na ubezpieczenie zdrowotne – 33 świadczenia dla 6 rodzin</t>
    </r>
  </si>
  <si>
    <t>Pomocą objęto 94 osób w tym na:</t>
  </si>
  <si>
    <t>Wypłacono 658  świadczenia  dla 134 rodzin</t>
  </si>
  <si>
    <r>
      <t xml:space="preserve">Utrzymanie Ośrodka Pomocy Społecznej - </t>
    </r>
    <r>
      <rPr>
        <sz val="12"/>
        <rFont val="Times New Roman"/>
        <family val="1"/>
      </rPr>
      <t>dotacja Gminy Kaźmierz w wysokości 149.879,11</t>
    </r>
  </si>
  <si>
    <t>w tym: czynsz lokalowy, usługi telekomunikacyjne, pocztowe, udział w szkoleniach, prowizje bankowe, wywóz śmieci</t>
  </si>
  <si>
    <t>Wydano 11619 posiłków dla 140 osób</t>
  </si>
  <si>
    <r>
      <t xml:space="preserve">Pozostała działalność - </t>
    </r>
    <r>
      <rPr>
        <sz val="12"/>
        <rFont val="Times New Roman"/>
        <family val="1"/>
      </rPr>
      <t>dotacja Gminy Kaźmierz w wysokości 13.915,96</t>
    </r>
  </si>
  <si>
    <t>-      dokumentacja techniczna Pólko, Gaj Wielki, Kaźmierz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</si>
  <si>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akustycznego na imprezy sportowo-rekreacyjne</t>
    </r>
  </si>
  <si>
    <t>Pozostało do wykorzystania na dzień 30.06.2006</t>
  </si>
  <si>
    <t>Opis</t>
  </si>
  <si>
    <t>na dzień 31.03.2006</t>
  </si>
  <si>
    <t>x</t>
  </si>
  <si>
    <t>materiały gospodarcze, remontowe</t>
  </si>
  <si>
    <t>- koszty poniesione na materiały: gospodarcze, eksploatacyjne budynku GOK, remontowe toalet i instalacji sanitarnej, malarskie (sala GOK)</t>
  </si>
  <si>
    <t>- koszty poniesone na materiały biurowe,  artykuły na zajęcia na ferie zimowe, kółko dziennikarskie</t>
  </si>
  <si>
    <t>inne materiały</t>
  </si>
  <si>
    <t xml:space="preserve">Gaz </t>
  </si>
  <si>
    <t>Usługi transportowe</t>
  </si>
  <si>
    <t>- koszty zakupu usług przewozu członków chóru Moniuszko na koncerty</t>
  </si>
  <si>
    <t>Usługi remontowe</t>
  </si>
  <si>
    <t>- z usług ksero</t>
  </si>
  <si>
    <t>- za internet</t>
  </si>
  <si>
    <t>- przychody za korzystanie z intenetu</t>
  </si>
  <si>
    <t>- za upomnienia</t>
  </si>
  <si>
    <t>-odsetki od środków na rachunku bankowym</t>
  </si>
  <si>
    <t>- przychody finansowe z kapitalizacji odsetek od środków na rachunku bieżącym</t>
  </si>
  <si>
    <t>- przychody z usług ksero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</si>
  <si>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dotacje przedmiotowa dla Zakładu Usług Komunalnych w Kaźmierzu (zgodnie z Uchwałą nr XVII/115/03 Rady Gminy Kaźmierz z dn. 30.12.2003, zmienionej Uchwała Nr XVIII/121/04 Rady Gminy Kaźmierz z dn.05.03.2004r.)</t>
    </r>
  </si>
  <si>
    <t>010  ROLNICTWO I ŁOWIECTWO</t>
  </si>
  <si>
    <t>Środki przeznaczono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</si>
  <si>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prace melioracyjne na terenie całej gminy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</si>
  <si>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utylizację odpadów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</si>
  <si>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Izby Rolnicze za rok 2005</t>
    </r>
  </si>
  <si>
    <t>020  LEŚNICTWO</t>
  </si>
  <si>
    <t>600  TRANSPORT I ŁĄCZNOŚĆ</t>
  </si>
  <si>
    <t>700  GOSPODARKA MIESZKANIOWA</t>
  </si>
  <si>
    <t>Wydatkowano na: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</si>
  <si>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usługi dotyczące nazewnictwa ulic i numeracji posesji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</si>
  <si>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projekty przebudowy płyty Rynku</t>
    </r>
  </si>
  <si>
    <t>710  DZIAŁALNOŚĆ USŁUGOWA</t>
  </si>
  <si>
    <t>- kopie map, wypisy, ogłoszenia dla potrzeb planowania przestrzennego</t>
  </si>
  <si>
    <t>- wykonanie Studium historyczno-urbanistycznego Kaźmierza</t>
  </si>
  <si>
    <t>750  ADMINISTRACJA PUBLICZNA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</si>
  <si>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realizację zadań zleconych i powierzonych gminie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</si>
  <si>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ZUS i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</si>
  <si>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socjalny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</si>
  <si>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mebli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</si>
  <si>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sprzętu komputerowego, oprogramowania, drukarek i innego sprzętu biurowego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</si>
  <si>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działalność świetlicy gminnej przy ul.Prusa (LOK)</t>
    </r>
  </si>
  <si>
    <r>
      <t>751</t>
    </r>
    <r>
      <rPr>
        <b/>
        <u val="single"/>
        <sz val="12"/>
        <rFont val="Times New Roman"/>
        <family val="1"/>
      </rPr>
      <t xml:space="preserve"> URZĘDY NACZELNYCH ORGANÓW WŁADZY PAŃSTWOWEJ, KONTROLI I OCHRONY PRAWA ORAZ SĄDOWNICTWA</t>
    </r>
  </si>
  <si>
    <t>- realizacja zadań rządowych zleconych gminom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</si>
  <si>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gminnych jednostek OSP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</si>
  <si>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organizację Turnieju Wiedzy Pożarniczej, Dnia Strażaka, spotkanie Młodzieżowych Drużyn Pożarniczych, zawodów strażackich</t>
    </r>
  </si>
  <si>
    <t>756 DOCHODY OD OSÓB PRAWNYCH, OD OSÓB FIZYCZNYCH I OD INNYCH JEDNOSTEK NIE POSIADAJĄCYCH OSOBOWOŚCI PRAWNEJ</t>
  </si>
  <si>
    <t>- inkaso sołtysów</t>
  </si>
  <si>
    <r>
      <t xml:space="preserve">- </t>
    </r>
    <r>
      <rPr>
        <sz val="12"/>
        <rFont val="Times New Roman"/>
        <family val="1"/>
      </rPr>
      <t>zakup druków</t>
    </r>
  </si>
  <si>
    <t xml:space="preserve">           89,67</t>
  </si>
  <si>
    <r>
      <t xml:space="preserve">- </t>
    </r>
    <r>
      <rPr>
        <sz val="12"/>
        <rFont val="Times New Roman"/>
        <family val="1"/>
      </rPr>
      <t>opłaty komornicze</t>
    </r>
  </si>
  <si>
    <t xml:space="preserve">757 OBSŁUGA PAPIERÓW WARTOŚCIOWYCH, KREDYTÓW I POŻYCZEK  JEDNOSTEK SAMORZĄDU TERYTORIALNEGO </t>
  </si>
  <si>
    <t>801  OŚWIATA I WYCHOWANIE</t>
  </si>
  <si>
    <t>Rozdział  801 Szkoły Podstawowe</t>
  </si>
  <si>
    <t>Szkoła Podstawowa w Kaźmierzu</t>
  </si>
  <si>
    <t>Wynagrodzenia osobowe</t>
  </si>
  <si>
    <t>Urząd Marszałkowski – rozliczenie opłat za gospodarcze korzystanie ze środowiska</t>
  </si>
  <si>
    <t>wykonanie publikacji na temat przyrody Gminy kaxmierz</t>
  </si>
  <si>
    <t xml:space="preserve">dodatki specjalne (wiejski i mieszkaniowy), odpis na Fundusz Socjalny </t>
  </si>
  <si>
    <t>Pozostałe wydatki to :</t>
  </si>
  <si>
    <t>- pomoc materialna dla uczniów (wyprawki dla klas I)</t>
  </si>
  <si>
    <t>- zakup materiałów na bieżące potrzeby szkoły</t>
  </si>
  <si>
    <t>- zakup pomocy dydaktycznych i książek</t>
  </si>
  <si>
    <t>- zakup usług pozostałych (usługi telekomunikacyjne, RTV,pływalnia</t>
  </si>
  <si>
    <t>- koszty energii elektrycznej , gazu i wody</t>
  </si>
  <si>
    <t>- podróże służbowe</t>
  </si>
  <si>
    <t xml:space="preserve">dodatki specjalne (wiejski i mieszkaniowy) ,odpis na Fundusz Socjalny </t>
  </si>
  <si>
    <t xml:space="preserve">          813,00</t>
  </si>
  <si>
    <t>- olej opałowy</t>
  </si>
  <si>
    <t>- pomoce dydaktyczne i książki</t>
  </si>
  <si>
    <t>- energia, woda</t>
  </si>
  <si>
    <t xml:space="preserve">- zakup usług pozostałych (usługi telekomunikacyjne, RTV,szkolenia, </t>
  </si>
  <si>
    <t xml:space="preserve">   serwis kotłów, przeglądy techniczne kopiarek)</t>
  </si>
  <si>
    <t>- zakup węgla</t>
  </si>
  <si>
    <t>- pomoce naukowe, dydaktyczne</t>
  </si>
  <si>
    <t>- energia, woda, gaz</t>
  </si>
  <si>
    <t>- materiały na potrzeby bieżące</t>
  </si>
  <si>
    <t>-  pomoce naukowe, dydaktyczne, zakup książek</t>
  </si>
  <si>
    <t>- energia, woda, CO</t>
  </si>
  <si>
    <t>- usługi remontowe</t>
  </si>
  <si>
    <t xml:space="preserve">- zakup usług pozostałych (usługi telekomunikacyjne, RTV, szkolenia) </t>
  </si>
  <si>
    <t>-  płace i ich pochodne, dodatki specjalne (wiejski i mieszkaniowy),</t>
  </si>
  <si>
    <t xml:space="preserve">    odpis na Fundusz Socjalny </t>
  </si>
  <si>
    <t>- zakup materiałów na bieżące potrzeby</t>
  </si>
  <si>
    <t>- płace i ich pochodne, dodatki specjalne, odpis na fundusz socjalny</t>
  </si>
  <si>
    <t>- zakup energii, wody i gazu</t>
  </si>
  <si>
    <t>- zakup usług pozostałych(usługi telekomunikacyjne, RTV, szkolenia)</t>
  </si>
  <si>
    <t>- zakup pomocy naukowych i dydaktycznych</t>
  </si>
  <si>
    <t>- zakup energii, CO, wody i gazu</t>
  </si>
  <si>
    <t>- zakup usług pozostałych (usługi telekomunikacyjne, RTV, szkolenia)</t>
  </si>
  <si>
    <t>Wydatki w tym rozdziale to dotacja na działalność przedszkola niepublicznego w Sokolnikach Wielkich</t>
  </si>
  <si>
    <t>Rozdział 80110 Gimnazjum</t>
  </si>
  <si>
    <t xml:space="preserve">oraz pracowników obsługi dodatki mieszkaniowe, odpis na Fundusz Socjalny </t>
  </si>
  <si>
    <t>- materiały na bieżące potrzeby placówki</t>
  </si>
  <si>
    <t>- usługi pozostałe(usługi telekomunikacyjne, szkolenia, przeglądy</t>
  </si>
  <si>
    <t xml:space="preserve">   techniczne kopiarek)</t>
  </si>
  <si>
    <t>- budowa gimnazjum wraz z salą gimnastyczną</t>
  </si>
  <si>
    <t>- wynagrodzenia dla opiekunów dzieci dowożonych</t>
  </si>
  <si>
    <t xml:space="preserve">- usługa dowożenia, która obejmuje dowożenie uczniów do Gimnazjum oraz do Szkół Podstawowych </t>
  </si>
  <si>
    <t>Rozdział ten obejmuje  koszty funkcjonowania Gminnego Zespołu Oświatowego.</t>
  </si>
  <si>
    <t>Wydatki w tym rozdziale obejmują:</t>
  </si>
  <si>
    <t>- płace i ich pochodne, dodatkowe wynagrodzenie roczne odpis na</t>
  </si>
  <si>
    <t xml:space="preserve">   Fundusz Socjalny</t>
  </si>
  <si>
    <t>- zakup materiałów biurowych, druków, czasopism fachowych</t>
  </si>
  <si>
    <t>- usługi naprawcze (prace systemowe i serwis komputerów)</t>
  </si>
  <si>
    <t>- zakup usług (koszty prowizji bankowych, licencja oprogramowania SIGID, szkolenia)</t>
  </si>
  <si>
    <t>Rozdział 80146 Placówki dokształcania i doskonalenia nauczycieli</t>
  </si>
  <si>
    <t>- wydatki na dokształcanie i doskonalenie zawodowe</t>
  </si>
  <si>
    <t>Rozdział 80195 Pozostała działalność</t>
  </si>
  <si>
    <t>- wydatki przeznaczone na odpis Funduszu Socjalnego dla emerytów i rencistów</t>
  </si>
  <si>
    <t>851 OCHRONA ZDROWIA</t>
  </si>
  <si>
    <t>·       wynagrodzenie GKRPA</t>
  </si>
  <si>
    <t>852  POMOC SPOŁECZNA</t>
  </si>
  <si>
    <t>Zasiłki rodzinne i dodatki do zasiłków</t>
  </si>
  <si>
    <r>
      <t>-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dodatki do zasiłków rodzinnych z tytułu:</t>
    </r>
  </si>
  <si>
    <t>-   składki ubezpieczenia społecznego</t>
  </si>
  <si>
    <r>
      <t>-</t>
    </r>
    <r>
      <rPr>
        <sz val="7"/>
        <rFont val="Times New Roman"/>
        <family val="1"/>
      </rPr>
      <t>    </t>
    </r>
    <r>
      <rPr>
        <sz val="12"/>
        <rFont val="Times New Roman"/>
        <family val="1"/>
      </rPr>
      <t xml:space="preserve">składki na ubezpieczenie zdrowotne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</si>
  <si>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okresowe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</si>
  <si>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zasiłki specjalne celowe</t>
    </r>
  </si>
  <si>
    <t>-      zasiłki na opał</t>
  </si>
  <si>
    <t>-      zasiłki na żywność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</si>
  <si>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leki, leczenie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</si>
  <si>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odpłatność za pobyt w Domu Pomocy Społecznej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</si>
  <si>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inne: opłacanie przedszkoli, internatów i burs, odzież, czynsz, energia, woda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</si>
  <si>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nagrody i wydatki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</si>
  <si>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</si>
  <si>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dodatkowe wynagrodzenia roczne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</si>
  <si>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ubezpieczenie społeczne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</si>
  <si>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składki na Fundusz Pracy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</si>
  <si>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wynagrodzenia bezosobowe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</si>
  <si>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materiały i wyposażenie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</si>
  <si>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energii, wody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</si>
  <si>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pozostałych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</si>
  <si>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zakup usług remontowych</t>
    </r>
  </si>
  <si>
    <t>-    różne opłaty i składki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</si>
  <si>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podróże służbowe krajowe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</si>
  <si>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odpis na Zakładowy Fundusz Świadczeń Socjalnych</t>
    </r>
  </si>
  <si>
    <t>Rządowy Program "Posiłek dla potrzebujących"</t>
  </si>
  <si>
    <t>-     ze środków własnych gminy</t>
  </si>
  <si>
    <t>-     ze środków rezerwy celowej z budżetu państwa</t>
  </si>
  <si>
    <r>
      <t>900</t>
    </r>
    <r>
      <rPr>
        <b/>
        <u val="single"/>
        <sz val="12"/>
        <rFont val="Times New Roman"/>
        <family val="1"/>
      </rPr>
      <t xml:space="preserve">  GOSPODARKA MIESZKANIOWA ORAZ NIEMATERIALNE USŁUGI KOMUNALNE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</si>
  <si>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oświetlenia ulicznego (energia, konserwacja)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</si>
  <si>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bezpańskich psów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</si>
  <si>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bieżące utrzymanie toalet publicznych (energia, woda,gaz, obsługa)</t>
    </r>
  </si>
  <si>
    <t>921  KULTURA I OCHRONA DZIEDZICTWA NARODOWEGO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</si>
  <si>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Gminnego Ośrodka Kultury w Kaźmierzu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</si>
  <si>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dotacja dla Gminnego Biblioteki Publicznej w Kaźmierzu</t>
    </r>
  </si>
  <si>
    <t>926  KULTURA FIZYCZNA I SPORT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</si>
  <si>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wynagrodzenie gospodarzy boisk sportowych i instruktorów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</si>
  <si>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ubezpieczenia zawodników i imprez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</si>
  <si>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utrzymanie płyty boiska w Kaźmierzu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</si>
  <si>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wydatki związane z organizacją turniejów i festynów sportowych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</si>
  <si>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materiały bieżącego utrzymania i drobnych remontów obiektów sportowych na terenie Gminy</t>
    </r>
  </si>
  <si>
    <t>SPRAWOZDANIE Z DZIAŁALNOŚCI</t>
  </si>
  <si>
    <t>ZAKŁADU USŁUG KOMUNALNYCH</t>
  </si>
  <si>
    <t>W KAŹMIERZU</t>
  </si>
  <si>
    <t>PRZYCHODY ZUK</t>
  </si>
  <si>
    <r>
      <t xml:space="preserve">-   </t>
    </r>
    <r>
      <rPr>
        <sz val="12"/>
        <rFont val="Times New Roman"/>
        <family val="1"/>
      </rPr>
      <t>koszty obsługi świadczeń rodzinnych i zaliczek alimentacyjnych (wynagrodzenia, szkolenia, opłaty bankowe, artykuły biurowe)</t>
    </r>
  </si>
  <si>
    <t>Pomoc materialna o charakterze socjalnym:</t>
  </si>
  <si>
    <t>- stypendia szkolne (119 świadczeń)</t>
  </si>
  <si>
    <t xml:space="preserve">Dział 600 Rozdział 60016 </t>
  </si>
  <si>
    <t>Wykonanie:</t>
  </si>
  <si>
    <t>DOCHODY I WYDATKI  DOCHODÓW WŁASNYCH JEDNOSTEK BUDŻETOWYCH</t>
  </si>
  <si>
    <t xml:space="preserve">Stan konta bankowego </t>
  </si>
  <si>
    <t>Wpływy z opłat za żywienie, kapitalizacja odsetek bankowych, dobrowolne wpłaty.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</si>
  <si>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</si>
  <si>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</si>
  <si>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</si>
  <si>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</si>
  <si>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</si>
  <si>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</si>
  <si>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z podatku opłacanego w formie karty podatkowej</t>
  </si>
  <si>
    <r>
      <t>Zaległości:</t>
    </r>
    <r>
      <rPr>
        <sz val="8"/>
        <rFont val="Times New Roman CE"/>
        <family val="1"/>
      </rPr>
      <t xml:space="preserve">                                                                 * wieczyste użytkowanie trzy zaległości 609,36                                                                                                           * trwały zarząd  jedna zaległość 16.733,28                                                                                                                                                                </t>
    </r>
  </si>
  <si>
    <t>Termin większości płatności wg umów przypada w IV kwartale br., pozostałe płatne są w systemie ratalnym</t>
  </si>
  <si>
    <t>1. Do końca II kwartału nie skorygowano planu dochodów z tytułu sprzedaży ratalnej o kwotę 2.715,85, które zostały zapłacone w grudniu 2005r.                                                                                          2. W II kwartale wystąpiła zaległość w sprzedaży ratalnej na kwotę 2.535,86 .                                                                                             3. Dochody ze sprzedaży nieruchomości zrealizowane będą w terminie późniejszym (ogłoszenie o sprzedaży nastąpiło w lipcu br.)</t>
  </si>
  <si>
    <t>Dotacja Wojewody Wielkopolskiego (pismo z dnia 21.10.2005r., znak FB.I-3.3010-78/05) na realizacje zadań rządowych zleconych gminom.</t>
  </si>
  <si>
    <t xml:space="preserve"> 5% kwoty z opłat za dowody osobiste (pismo Wojewody Wielkopolskiego z dnia 21.10.2005r., znak FB.I-3.3010-78/05 okreslające plan)</t>
  </si>
  <si>
    <t xml:space="preserve">Wpływy z opłat pobieranych przez gminę oraz refundacje z Powiatowego Urzedu Pracy. </t>
  </si>
  <si>
    <t>Dotacja na prowadzenie stałego rejestru wyborców w 2006r.(pismo Krajowego Biura Wyborczego Delegatura w Pile z dnia 17.03.2006r, znak DPL 0301-9/06)</t>
  </si>
  <si>
    <t>Dotacja na realizację zadań rządowych zleconych gminom z zakresu obrony cywilnej (pismo Wojewody Wielkopolskiego z dnia 21.10.2005r., znak FB.I-3.3010-78/05)</t>
  </si>
  <si>
    <t>Odsetki za nieterminowe regulowanie w/w podatku. Zgodne z dyspozycją i sprawozdaniem Urzędu Skarbowego w Szamotułach</t>
  </si>
  <si>
    <t>Wykonanie zgodne z sprawozdaniem Urzędu Skarbowego. Dochody trudne do oszacowania</t>
  </si>
  <si>
    <t>Plan przyjęto na bazie wykonania z roku 2005. Złe warunki atmosferyczne oraz brak zadaszeń na targowisku spowodowało mniejsze zainteresowanie handlujących.</t>
  </si>
  <si>
    <t>Dochody za wypis i wyrys z planu. Dochody trudne do oszcowania</t>
  </si>
  <si>
    <t>- odsetki od pożyczki Umowa Nr 169/P/Po/OW/03 na inwestycję pn."Rozbudowa kanalizacji sanitarnej do istniejącej oczyszczalni ścieków w m.Witkowice gm.Kaźmierz Etap III w miejscowości Bytyń w rejonie drogi do Pólka".</t>
  </si>
  <si>
    <t>- odsetki kredytowe Umowa Nr 12309/2000273/2003 na inwestycję gminne.</t>
  </si>
  <si>
    <t>Większość wydatków w tym rozdziale stanowią płace i ich pochodne,</t>
  </si>
  <si>
    <t xml:space="preserve">   szkolenia, serwis kotłów)</t>
  </si>
  <si>
    <t>- zakup usług dostępu do sieci Internet</t>
  </si>
  <si>
    <t>- różne opłaty i składki (ubezpieczenie budynków i komputerów)</t>
  </si>
  <si>
    <t xml:space="preserve"> Większość  wydatków w tym rozdziale stanowią płace i ich pochodne,</t>
  </si>
  <si>
    <t>Większość  wydatków w tym rozdziale stanowią płace i ich pochodne,</t>
  </si>
  <si>
    <t>Kredyt z  Banku Gospodarstwa Krajowego w Poznaniu ze środków Europejskiego Banku Inwestycyjnego na przedsięwzięcie pn."Budowa gimnazjum wraz z salą gimnastyczną w Kaźmierzu".</t>
  </si>
  <si>
    <t xml:space="preserve">Pożyczka na prefinansowanie </t>
  </si>
  <si>
    <r>
      <t>5.</t>
    </r>
    <r>
      <rPr>
        <sz val="12"/>
        <rFont val="Times New Roman"/>
        <family val="1"/>
      </rPr>
      <t xml:space="preserve"> Gminny Fundusz Ochrony Środowiska i Gospodarki Wodnej (Zał.nr 4)</t>
    </r>
  </si>
  <si>
    <t>Dz</t>
  </si>
  <si>
    <t>Rozdz</t>
  </si>
  <si>
    <t>§</t>
  </si>
  <si>
    <t>Treść</t>
  </si>
  <si>
    <t>- koszty poniesione na zakup materiałow biurowych - tonery do kopiarki, drukarek, papier, kartoteki, druki biblioteczne itp..</t>
  </si>
  <si>
    <t>- pozostałe materiały</t>
  </si>
  <si>
    <t>Zakup książek</t>
  </si>
  <si>
    <t>Energia:</t>
  </si>
  <si>
    <t>- koszty poniesione na zakup energii elektrycznej dla Biblioteki Publicznej i pomieszczeń kinowych</t>
  </si>
  <si>
    <t>- gaz</t>
  </si>
  <si>
    <t>- koszty zakupu gazu - ogrzewanie Biblioteki Publicznej i pomieszczeń kinowej</t>
  </si>
  <si>
    <t>- w zakresie czystości</t>
  </si>
  <si>
    <t>- koszty wywozu nieczystości stałych i płynnych,</t>
  </si>
  <si>
    <t>- telekomunikacyjne</t>
  </si>
  <si>
    <t>- koszty abonentów i rozmów telefonicznych Biblioteki Publicznej w Kaźmierzu i filii bibliotecznmej w Gaju Wielkim, koszty połączeń internetowych</t>
  </si>
  <si>
    <t>- usługi pocztowe</t>
  </si>
  <si>
    <t>Szkoła Podstawowa Gaj Wielki</t>
  </si>
  <si>
    <t>Kultura fizyczna i sport</t>
  </si>
  <si>
    <t>Zadania w zakresie kultury fizycznej i sportu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</si>
  <si>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</si>
  <si>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</si>
  <si>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</si>
  <si>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</si>
  <si>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</si>
  <si>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</si>
  <si>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Spłaty otrzymanych krajowych pożyczek i kredytów</t>
  </si>
  <si>
    <t>Zał.Nr 6 do Uchwały nr XXVIII/184/04 Rady Gminy Kaźmierz z dn.20.12.2004r.</t>
  </si>
  <si>
    <t>Zał.Nr 6 do Uchwały NrXIX/122/04 Rady Gminy Kaźmierz z dnia 19.03.2004r.</t>
  </si>
  <si>
    <t>Struktura przychodów i wydatków</t>
  </si>
  <si>
    <t>Gminnego Funduszu Ochrony Środowiska i Gospodarki Wodnej</t>
  </si>
  <si>
    <t>PRZYCHODY</t>
  </si>
  <si>
    <t>Stan konta bankowego na 01.01.2005r.</t>
  </si>
  <si>
    <t>Wpływy na rzecz funduszu pochodzące z opłat za gospodarcze korzystanie ze środowiska przez podmioty gospodarcze z terenu gminy</t>
  </si>
  <si>
    <t>Kapitalizacja odsetek bankowych</t>
  </si>
  <si>
    <t>WYDATKI</t>
  </si>
  <si>
    <t>Zał.nr 8</t>
  </si>
  <si>
    <t>Wydatki majątkowe po zmianach</t>
  </si>
  <si>
    <t>- opłaty za skrzynkę pocztową, abonament RTV, wysyłkę książek - wypożyczenia międzybiblioteczne</t>
  </si>
  <si>
    <t>- najem lokalu</t>
  </si>
  <si>
    <t>Przedszkole w Kaźmierzu</t>
  </si>
  <si>
    <t>Szkoła Podstawowa Bytyń</t>
  </si>
  <si>
    <t>Należności</t>
  </si>
  <si>
    <t>Zobowiązania</t>
  </si>
  <si>
    <t>wymagalne</t>
  </si>
  <si>
    <t>niewymagalne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</si>
  <si>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partycypację w remoncie dróg powiatowych nr 1861P w Kaźmierzu (odcinek ul.Dworcowej) oraz drogi nr 1868P Piersko - Bytyń (Porozumienie z dnia 24 czerwca 2005r, Aneks z dnia 30 września 2005r. pomiędzy Powiatem Szamotulskim a Gminą Kaźmierz)</t>
    </r>
  </si>
  <si>
    <t>Otrzymane spadki, zapisy i darowizny w postaci pieniężnej</t>
  </si>
  <si>
    <t>Zakup środków żywności</t>
  </si>
  <si>
    <t>WYDATKI OGÓŁEM</t>
  </si>
  <si>
    <t>Szkoła Podstawowa Kaźmierz</t>
  </si>
  <si>
    <t>Zakup artykułów spożywczych, zakup pakietu startowego do ksera.</t>
  </si>
  <si>
    <t>Zakup artykułów spożywczych, wyposażenia kuchni, środków dydaktycznych, przyjazd dzieci z Litwy</t>
  </si>
  <si>
    <t>należności z tytułu dostaw towarów i usług</t>
  </si>
  <si>
    <t>zobowiązania pożyczkowe</t>
  </si>
  <si>
    <t>zobowiązania kredytowe</t>
  </si>
  <si>
    <t>zobowiązania z tytułu dostaw towarów i usług</t>
  </si>
  <si>
    <t>zobowiązania z tytułu pochodnych od wynagrodzeń</t>
  </si>
  <si>
    <t>zobowiązania z tytułu dostaw towarów i usług (inwestycje)</t>
  </si>
  <si>
    <t>4.</t>
  </si>
  <si>
    <t>Gminny Ośrodek Pomocy Społecznej</t>
  </si>
  <si>
    <t>5.</t>
  </si>
  <si>
    <t>6.</t>
  </si>
  <si>
    <t>Gminna Biblioteka Publiczna</t>
  </si>
  <si>
    <t>Gminny Ośrodek Kultury</t>
  </si>
  <si>
    <t>Tytuł powstania należności/zobowiązania</t>
  </si>
  <si>
    <t>ZBIORÓWKA</t>
  </si>
  <si>
    <t>Zał.nr 1</t>
  </si>
  <si>
    <t>Opłaty za przedszkole</t>
  </si>
  <si>
    <t>Kapitalizacja odsetek na koncie bankowym GOPS. Kwota trudna do oszacowania.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</si>
</sst>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d/m/yyyy"/>
  </numFmts>
  <fonts count="47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E"/>
      <family val="1"/>
    </font>
    <font>
      <sz val="8"/>
      <color indexed="12"/>
      <name val="Times New Roman CE"/>
      <family val="1"/>
    </font>
    <font>
      <b/>
      <sz val="11"/>
      <color indexed="12"/>
      <name val="Times New Roman CE"/>
      <family val="1"/>
    </font>
    <font>
      <b/>
      <sz val="11"/>
      <name val="Times New Roman CE"/>
      <family val="1"/>
    </font>
    <font>
      <sz val="16"/>
      <color indexed="48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Symbol"/>
      <family val="1"/>
    </font>
    <font>
      <sz val="16"/>
      <name val="Arial"/>
      <family val="0"/>
    </font>
    <font>
      <b/>
      <sz val="16"/>
      <name val="Times New Roman"/>
      <family val="1"/>
    </font>
    <font>
      <b/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 CE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 CE"/>
      <family val="1"/>
    </font>
    <font>
      <sz val="9"/>
      <name val="Arial"/>
      <family val="0"/>
    </font>
    <font>
      <sz val="10"/>
      <name val="Arial CE"/>
      <family val="0"/>
    </font>
    <font>
      <sz val="10"/>
      <color indexed="12"/>
      <name val="Arial"/>
      <family val="0"/>
    </font>
    <font>
      <b/>
      <sz val="7"/>
      <name val="Times New Roman"/>
      <family val="1"/>
    </font>
    <font>
      <sz val="14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2" borderId="2" xfId="0" applyFont="1" applyFill="1" applyBorder="1" applyAlignment="1" quotePrefix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 quotePrefix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" fontId="10" fillId="5" borderId="3" xfId="0" applyNumberFormat="1" applyFont="1" applyFill="1" applyBorder="1" applyAlignment="1">
      <alignment horizontal="center" vertical="center"/>
    </xf>
    <xf numFmtId="4" fontId="11" fillId="5" borderId="3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4" fontId="1" fillId="5" borderId="1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4" fontId="10" fillId="6" borderId="14" xfId="0" applyNumberFormat="1" applyFont="1" applyFill="1" applyBorder="1" applyAlignment="1">
      <alignment horizontal="center" vertical="center" wrapText="1"/>
    </xf>
    <xf numFmtId="4" fontId="11" fillId="6" borderId="14" xfId="0" applyNumberFormat="1" applyFont="1" applyFill="1" applyBorder="1" applyAlignment="1">
      <alignment horizontal="center" vertical="center" wrapText="1"/>
    </xf>
    <xf numFmtId="4" fontId="1" fillId="6" borderId="14" xfId="0" applyNumberFormat="1" applyFont="1" applyFill="1" applyBorder="1" applyAlignment="1">
      <alignment horizontal="center" vertical="center" wrapText="1"/>
    </xf>
    <xf numFmtId="4" fontId="1" fillId="6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0" xfId="0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4" borderId="4" xfId="0" applyFont="1" applyFill="1" applyBorder="1" applyAlignment="1" quotePrefix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vertical="center"/>
    </xf>
    <xf numFmtId="4" fontId="6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1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4" xfId="0" applyFont="1" applyBorder="1" applyAlignment="1" quotePrefix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2" fillId="0" borderId="3" xfId="0" applyFont="1" applyFill="1" applyBorder="1" applyAlignment="1" quotePrefix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 quotePrefix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2" fillId="0" borderId="6" xfId="0" applyNumberFormat="1" applyFont="1" applyBorder="1" applyAlignment="1">
      <alignment vertical="center" wrapText="1"/>
    </xf>
    <xf numFmtId="0" fontId="1" fillId="7" borderId="4" xfId="0" applyFont="1" applyFill="1" applyBorder="1" applyAlignment="1">
      <alignment horizont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 indent="2"/>
    </xf>
    <xf numFmtId="0" fontId="23" fillId="0" borderId="0" xfId="0" applyFont="1" applyAlignment="1" quotePrefix="1">
      <alignment horizontal="left" vertical="center" wrapText="1" indent="2"/>
    </xf>
    <xf numFmtId="0" fontId="23" fillId="0" borderId="0" xfId="0" applyFont="1" applyAlignment="1" quotePrefix="1">
      <alignment horizontal="left" vertical="center" wrapText="1" indent="3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 indent="2"/>
    </xf>
    <xf numFmtId="0" fontId="24" fillId="0" borderId="0" xfId="0" applyFont="1" applyAlignment="1" quotePrefix="1">
      <alignment horizontal="left" vertical="center" wrapText="1" indent="2"/>
    </xf>
    <xf numFmtId="0" fontId="26" fillId="0" borderId="0" xfId="0" applyFont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 indent="3"/>
    </xf>
    <xf numFmtId="4" fontId="23" fillId="0" borderId="0" xfId="0" applyNumberFormat="1" applyFont="1" applyAlignment="1" quotePrefix="1">
      <alignment horizontal="left" vertical="center" wrapText="1" indent="2"/>
    </xf>
    <xf numFmtId="0" fontId="23" fillId="0" borderId="0" xfId="0" applyFont="1" applyAlignment="1">
      <alignment horizontal="right" vertical="center" wrapText="1"/>
    </xf>
    <xf numFmtId="4" fontId="23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23" fillId="0" borderId="0" xfId="0" applyFont="1" applyAlignment="1" quotePrefix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4" fontId="2" fillId="5" borderId="19" xfId="0" applyNumberFormat="1" applyFont="1" applyFill="1" applyBorder="1" applyAlignment="1">
      <alignment horizontal="left"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5" borderId="19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wrapText="1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left" vertical="center" wrapText="1"/>
    </xf>
    <xf numFmtId="4" fontId="3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5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" fontId="1" fillId="2" borderId="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7" borderId="8" xfId="0" applyFont="1" applyFill="1" applyBorder="1" applyAlignment="1">
      <alignment horizontal="left"/>
    </xf>
    <xf numFmtId="4" fontId="1" fillId="2" borderId="3" xfId="0" applyNumberFormat="1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/>
    </xf>
    <xf numFmtId="4" fontId="2" fillId="7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1" fillId="2" borderId="5" xfId="0" applyNumberFormat="1" applyFont="1" applyFill="1" applyBorder="1" applyAlignment="1">
      <alignment horizontal="left" vertical="top" wrapText="1"/>
    </xf>
    <xf numFmtId="168" fontId="14" fillId="0" borderId="0" xfId="0" applyNumberFormat="1" applyFont="1" applyAlignment="1">
      <alignment vertical="center"/>
    </xf>
    <xf numFmtId="0" fontId="38" fillId="0" borderId="24" xfId="0" applyFont="1" applyBorder="1" applyAlignment="1">
      <alignment vertical="center" wrapText="1"/>
    </xf>
    <xf numFmtId="4" fontId="13" fillId="8" borderId="25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left" vertical="center" wrapText="1"/>
    </xf>
    <xf numFmtId="4" fontId="13" fillId="2" borderId="27" xfId="0" applyNumberFormat="1" applyFont="1" applyFill="1" applyBorder="1" applyAlignment="1">
      <alignment vertical="center"/>
    </xf>
    <xf numFmtId="4" fontId="13" fillId="2" borderId="28" xfId="0" applyNumberFormat="1" applyFont="1" applyFill="1" applyBorder="1" applyAlignment="1">
      <alignment vertical="center"/>
    </xf>
    <xf numFmtId="4" fontId="13" fillId="2" borderId="29" xfId="0" applyNumberFormat="1" applyFont="1" applyFill="1" applyBorder="1" applyAlignment="1">
      <alignment vertical="center"/>
    </xf>
    <xf numFmtId="168" fontId="13" fillId="2" borderId="29" xfId="0" applyNumberFormat="1" applyFont="1" applyFill="1" applyBorder="1" applyAlignment="1">
      <alignment vertical="center"/>
    </xf>
    <xf numFmtId="4" fontId="13" fillId="2" borderId="11" xfId="0" applyNumberFormat="1" applyFont="1" applyFill="1" applyBorder="1" applyAlignment="1">
      <alignment vertical="center"/>
    </xf>
    <xf numFmtId="168" fontId="13" fillId="2" borderId="30" xfId="0" applyNumberFormat="1" applyFont="1" applyFill="1" applyBorder="1" applyAlignment="1">
      <alignment vertical="center"/>
    </xf>
    <xf numFmtId="4" fontId="13" fillId="2" borderId="24" xfId="0" applyNumberFormat="1" applyFont="1" applyFill="1" applyBorder="1" applyAlignment="1">
      <alignment vertical="center"/>
    </xf>
    <xf numFmtId="0" fontId="14" fillId="0" borderId="31" xfId="0" applyFont="1" applyBorder="1" applyAlignment="1">
      <alignment horizontal="left" vertical="center" wrapText="1" indent="1"/>
    </xf>
    <xf numFmtId="4" fontId="14" fillId="0" borderId="24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168" fontId="14" fillId="0" borderId="11" xfId="0" applyNumberFormat="1" applyFont="1" applyFill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168" fontId="14" fillId="0" borderId="24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168" fontId="14" fillId="0" borderId="32" xfId="0" applyNumberFormat="1" applyFont="1" applyFill="1" applyBorder="1" applyAlignment="1">
      <alignment vertical="center"/>
    </xf>
    <xf numFmtId="0" fontId="13" fillId="2" borderId="31" xfId="0" applyFont="1" applyFill="1" applyBorder="1" applyAlignment="1">
      <alignment horizontal="left" vertical="center" wrapText="1"/>
    </xf>
    <xf numFmtId="4" fontId="13" fillId="2" borderId="16" xfId="0" applyNumberFormat="1" applyFont="1" applyFill="1" applyBorder="1" applyAlignment="1">
      <alignment vertical="center"/>
    </xf>
    <xf numFmtId="168" fontId="13" fillId="2" borderId="24" xfId="0" applyNumberFormat="1" applyFont="1" applyFill="1" applyBorder="1" applyAlignment="1">
      <alignment vertical="center"/>
    </xf>
    <xf numFmtId="168" fontId="14" fillId="2" borderId="24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 vertical="center"/>
    </xf>
    <xf numFmtId="4" fontId="13" fillId="0" borderId="3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vertical="center"/>
    </xf>
    <xf numFmtId="168" fontId="13" fillId="0" borderId="34" xfId="0" applyNumberFormat="1" applyFont="1" applyFill="1" applyBorder="1" applyAlignment="1">
      <alignment vertical="center"/>
    </xf>
    <xf numFmtId="0" fontId="13" fillId="3" borderId="27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vertical="center"/>
    </xf>
    <xf numFmtId="4" fontId="13" fillId="3" borderId="35" xfId="0" applyNumberFormat="1" applyFont="1" applyFill="1" applyBorder="1" applyAlignment="1">
      <alignment vertical="center"/>
    </xf>
    <xf numFmtId="4" fontId="13" fillId="3" borderId="36" xfId="0" applyNumberFormat="1" applyFont="1" applyFill="1" applyBorder="1" applyAlignment="1">
      <alignment vertical="center"/>
    </xf>
    <xf numFmtId="168" fontId="13" fillId="3" borderId="36" xfId="0" applyNumberFormat="1" applyFont="1" applyFill="1" applyBorder="1" applyAlignment="1">
      <alignment vertical="center"/>
    </xf>
    <xf numFmtId="168" fontId="13" fillId="3" borderId="27" xfId="0" applyNumberFormat="1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center" wrapText="1"/>
    </xf>
    <xf numFmtId="4" fontId="13" fillId="3" borderId="24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left" vertical="center" wrapText="1" indent="1"/>
    </xf>
    <xf numFmtId="4" fontId="14" fillId="0" borderId="19" xfId="0" applyNumberFormat="1" applyFont="1" applyBorder="1" applyAlignment="1">
      <alignment vertical="center"/>
    </xf>
    <xf numFmtId="168" fontId="14" fillId="0" borderId="19" xfId="0" applyNumberFormat="1" applyFont="1" applyBorder="1" applyAlignment="1">
      <alignment vertical="center"/>
    </xf>
    <xf numFmtId="168" fontId="14" fillId="0" borderId="24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0" fontId="23" fillId="0" borderId="0" xfId="0" applyFont="1" applyFill="1" applyAlignment="1" quotePrefix="1">
      <alignment horizontal="left" vertical="center" wrapText="1" indent="3"/>
    </xf>
    <xf numFmtId="0" fontId="6" fillId="0" borderId="0" xfId="0" applyFont="1" applyAlignment="1">
      <alignment/>
    </xf>
    <xf numFmtId="4" fontId="2" fillId="0" borderId="13" xfId="0" applyNumberFormat="1" applyFont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2" fillId="0" borderId="0" xfId="0" applyFont="1" applyAlignment="1">
      <alignment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4" fontId="2" fillId="6" borderId="38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4" fontId="12" fillId="0" borderId="3" xfId="0" applyNumberFormat="1" applyFont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23" fillId="0" borderId="0" xfId="0" applyFont="1" applyAlignment="1" quotePrefix="1">
      <alignment horizontal="left" vertical="center"/>
    </xf>
    <xf numFmtId="0" fontId="29" fillId="0" borderId="0" xfId="0" applyFont="1" applyAlignment="1">
      <alignment horizontal="left" vertical="center"/>
    </xf>
    <xf numFmtId="4" fontId="5" fillId="0" borderId="11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4" fontId="12" fillId="6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4" fillId="3" borderId="3" xfId="0" applyFont="1" applyFill="1" applyBorder="1" applyAlignment="1">
      <alignment vertical="center"/>
    </xf>
    <xf numFmtId="4" fontId="24" fillId="3" borderId="3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49" fontId="23" fillId="3" borderId="3" xfId="0" applyNumberFormat="1" applyFont="1" applyFill="1" applyBorder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" fontId="23" fillId="0" borderId="3" xfId="0" applyNumberFormat="1" applyFont="1" applyFill="1" applyBorder="1" applyAlignment="1">
      <alignment vertical="center"/>
    </xf>
    <xf numFmtId="10" fontId="23" fillId="0" borderId="3" xfId="0" applyNumberFormat="1" applyFont="1" applyBorder="1" applyAlignment="1">
      <alignment vertical="center"/>
    </xf>
    <xf numFmtId="49" fontId="24" fillId="3" borderId="3" xfId="0" applyNumberFormat="1" applyFont="1" applyFill="1" applyBorder="1" applyAlignment="1">
      <alignment vertical="center"/>
    </xf>
    <xf numFmtId="49" fontId="23" fillId="0" borderId="3" xfId="0" applyNumberFormat="1" applyFont="1" applyBorder="1" applyAlignment="1">
      <alignment vertical="center"/>
    </xf>
    <xf numFmtId="49" fontId="24" fillId="0" borderId="3" xfId="0" applyNumberFormat="1" applyFont="1" applyFill="1" applyBorder="1" applyAlignment="1">
      <alignment vertical="center"/>
    </xf>
    <xf numFmtId="4" fontId="24" fillId="0" borderId="3" xfId="0" applyNumberFormat="1" applyFont="1" applyFill="1" applyBorder="1" applyAlignment="1">
      <alignment vertical="center"/>
    </xf>
    <xf numFmtId="10" fontId="24" fillId="0" borderId="3" xfId="0" applyNumberFormat="1" applyFont="1" applyFill="1" applyBorder="1" applyAlignment="1">
      <alignment vertical="center"/>
    </xf>
    <xf numFmtId="49" fontId="23" fillId="0" borderId="3" xfId="0" applyNumberFormat="1" applyFont="1" applyFill="1" applyBorder="1" applyAlignment="1">
      <alignment vertical="center" wrapText="1"/>
    </xf>
    <xf numFmtId="49" fontId="24" fillId="0" borderId="3" xfId="0" applyNumberFormat="1" applyFont="1" applyBorder="1" applyAlignment="1">
      <alignment vertical="center" wrapText="1"/>
    </xf>
    <xf numFmtId="10" fontId="24" fillId="0" borderId="3" xfId="0" applyNumberFormat="1" applyFont="1" applyBorder="1" applyAlignment="1">
      <alignment vertical="center"/>
    </xf>
    <xf numFmtId="49" fontId="24" fillId="0" borderId="3" xfId="0" applyNumberFormat="1" applyFont="1" applyBorder="1" applyAlignment="1">
      <alignment vertical="center"/>
    </xf>
    <xf numFmtId="49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49" fontId="24" fillId="0" borderId="3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 wrapText="1"/>
    </xf>
    <xf numFmtId="10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" fontId="24" fillId="0" borderId="3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wrapText="1"/>
    </xf>
    <xf numFmtId="49" fontId="24" fillId="0" borderId="3" xfId="0" applyNumberFormat="1" applyFont="1" applyBorder="1" applyAlignment="1">
      <alignment/>
    </xf>
    <xf numFmtId="4" fontId="24" fillId="0" borderId="3" xfId="0" applyNumberFormat="1" applyFont="1" applyBorder="1" applyAlignment="1">
      <alignment/>
    </xf>
    <xf numFmtId="10" fontId="24" fillId="0" borderId="3" xfId="0" applyNumberFormat="1" applyFont="1" applyBorder="1" applyAlignment="1">
      <alignment/>
    </xf>
    <xf numFmtId="49" fontId="23" fillId="0" borderId="3" xfId="0" applyNumberFormat="1" applyFont="1" applyBorder="1" applyAlignment="1">
      <alignment/>
    </xf>
    <xf numFmtId="4" fontId="23" fillId="0" borderId="3" xfId="0" applyNumberFormat="1" applyFont="1" applyBorder="1" applyAlignment="1">
      <alignment/>
    </xf>
    <xf numFmtId="10" fontId="23" fillId="0" borderId="3" xfId="0" applyNumberFormat="1" applyFont="1" applyBorder="1" applyAlignment="1">
      <alignment/>
    </xf>
    <xf numFmtId="4" fontId="23" fillId="0" borderId="3" xfId="0" applyNumberFormat="1" applyFont="1" applyBorder="1" applyAlignment="1">
      <alignment vertical="center"/>
    </xf>
    <xf numFmtId="49" fontId="24" fillId="3" borderId="3" xfId="0" applyNumberFormat="1" applyFont="1" applyFill="1" applyBorder="1" applyAlignment="1">
      <alignment/>
    </xf>
    <xf numFmtId="4" fontId="24" fillId="3" borderId="3" xfId="0" applyNumberFormat="1" applyFont="1" applyFill="1" applyBorder="1" applyAlignment="1">
      <alignment/>
    </xf>
    <xf numFmtId="10" fontId="24" fillId="3" borderId="3" xfId="0" applyNumberFormat="1" applyFont="1" applyFill="1" applyBorder="1" applyAlignment="1">
      <alignment/>
    </xf>
    <xf numFmtId="49" fontId="23" fillId="3" borderId="3" xfId="0" applyNumberFormat="1" applyFont="1" applyFill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4" fontId="39" fillId="0" borderId="29" xfId="0" applyNumberFormat="1" applyFont="1" applyFill="1" applyBorder="1" applyAlignment="1">
      <alignment horizontal="center" vertical="center" wrapText="1"/>
    </xf>
    <xf numFmtId="168" fontId="39" fillId="0" borderId="3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40" xfId="0" applyNumberFormat="1" applyFont="1" applyFill="1" applyBorder="1" applyAlignment="1">
      <alignment horizontal="center" vertical="center" wrapText="1"/>
    </xf>
    <xf numFmtId="4" fontId="39" fillId="0" borderId="41" xfId="0" applyNumberFormat="1" applyFont="1" applyFill="1" applyBorder="1" applyAlignment="1">
      <alignment horizontal="center" vertical="center" wrapText="1"/>
    </xf>
    <xf numFmtId="168" fontId="39" fillId="0" borderId="41" xfId="0" applyNumberFormat="1" applyFont="1" applyFill="1" applyBorder="1" applyAlignment="1">
      <alignment horizontal="center" vertical="center" wrapText="1"/>
    </xf>
    <xf numFmtId="169" fontId="39" fillId="0" borderId="0" xfId="0" applyNumberFormat="1" applyFont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24" xfId="0" applyFont="1" applyBorder="1" applyAlignment="1" quotePrefix="1">
      <alignment vertical="center" wrapText="1"/>
    </xf>
    <xf numFmtId="4" fontId="13" fillId="2" borderId="33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 wrapText="1"/>
    </xf>
    <xf numFmtId="4" fontId="13" fillId="2" borderId="36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4" fontId="13" fillId="2" borderId="31" xfId="0" applyNumberFormat="1" applyFont="1" applyFill="1" applyBorder="1" applyAlignment="1">
      <alignment vertical="center"/>
    </xf>
    <xf numFmtId="0" fontId="24" fillId="9" borderId="25" xfId="0" applyFont="1" applyFill="1" applyBorder="1" applyAlignment="1">
      <alignment horizontal="left" vertical="center" wrapText="1"/>
    </xf>
    <xf numFmtId="4" fontId="24" fillId="9" borderId="42" xfId="0" applyNumberFormat="1" applyFont="1" applyFill="1" applyBorder="1" applyAlignment="1">
      <alignment vertical="center"/>
    </xf>
    <xf numFmtId="168" fontId="13" fillId="9" borderId="42" xfId="0" applyNumberFormat="1" applyFont="1" applyFill="1" applyBorder="1" applyAlignment="1">
      <alignment vertical="center"/>
    </xf>
    <xf numFmtId="4" fontId="24" fillId="9" borderId="25" xfId="0" applyNumberFormat="1" applyFont="1" applyFill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 wrapText="1"/>
    </xf>
    <xf numFmtId="4" fontId="27" fillId="0" borderId="34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vertical="center"/>
    </xf>
    <xf numFmtId="4" fontId="39" fillId="0" borderId="4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" fontId="13" fillId="3" borderId="43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4" fontId="13" fillId="3" borderId="44" xfId="0" applyNumberFormat="1" applyFont="1" applyFill="1" applyBorder="1" applyAlignment="1">
      <alignment vertical="center"/>
    </xf>
    <xf numFmtId="4" fontId="13" fillId="3" borderId="31" xfId="0" applyNumberFormat="1" applyFont="1" applyFill="1" applyBorder="1" applyAlignment="1">
      <alignment vertical="center"/>
    </xf>
    <xf numFmtId="4" fontId="14" fillId="0" borderId="31" xfId="0" applyNumberFormat="1" applyFont="1" applyBorder="1" applyAlignment="1">
      <alignment vertical="center"/>
    </xf>
    <xf numFmtId="0" fontId="14" fillId="0" borderId="45" xfId="0" applyFont="1" applyBorder="1" applyAlignment="1">
      <alignment horizontal="left" vertical="center" wrapText="1" indent="1"/>
    </xf>
    <xf numFmtId="4" fontId="14" fillId="0" borderId="46" xfId="0" applyNumberFormat="1" applyFont="1" applyBorder="1" applyAlignment="1">
      <alignment vertical="center"/>
    </xf>
    <xf numFmtId="0" fontId="24" fillId="8" borderId="25" xfId="0" applyFont="1" applyFill="1" applyBorder="1" applyAlignment="1">
      <alignment horizontal="left" vertical="center" wrapText="1"/>
    </xf>
    <xf numFmtId="4" fontId="24" fillId="8" borderId="42" xfId="0" applyNumberFormat="1" applyFont="1" applyFill="1" applyBorder="1" applyAlignment="1">
      <alignment horizontal="right" vertical="center"/>
    </xf>
    <xf numFmtId="4" fontId="24" fillId="8" borderId="47" xfId="0" applyNumberFormat="1" applyFont="1" applyFill="1" applyBorder="1" applyAlignment="1">
      <alignment horizontal="right" vertical="center"/>
    </xf>
    <xf numFmtId="168" fontId="24" fillId="8" borderId="42" xfId="0" applyNumberFormat="1" applyFont="1" applyFill="1" applyBorder="1" applyAlignment="1">
      <alignment horizontal="right" vertical="center"/>
    </xf>
    <xf numFmtId="4" fontId="13" fillId="8" borderId="42" xfId="0" applyNumberFormat="1" applyFont="1" applyFill="1" applyBorder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44" fontId="13" fillId="0" borderId="0" xfId="0" applyNumberFormat="1" applyFont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textRotation="255" wrapText="1"/>
    </xf>
    <xf numFmtId="4" fontId="1" fillId="0" borderId="41" xfId="0" applyNumberFormat="1" applyFont="1" applyBorder="1" applyAlignment="1">
      <alignment horizontal="center" vertical="center" textRotation="255" wrapText="1"/>
    </xf>
    <xf numFmtId="4" fontId="2" fillId="0" borderId="49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" fontId="2" fillId="0" borderId="49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49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4" fontId="5" fillId="0" borderId="3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5" fillId="0" borderId="6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4" fontId="5" fillId="0" borderId="37" xfId="0" applyNumberFormat="1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left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6" fillId="0" borderId="0" xfId="0" applyFont="1" applyAlignment="1">
      <alignment horizontal="justify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4" fontId="13" fillId="5" borderId="22" xfId="0" applyNumberFormat="1" applyFont="1" applyFill="1" applyBorder="1" applyAlignment="1">
      <alignment horizontal="center" vertical="center" wrapText="1"/>
    </xf>
    <xf numFmtId="4" fontId="13" fillId="5" borderId="44" xfId="0" applyNumberFormat="1" applyFont="1" applyFill="1" applyBorder="1" applyAlignment="1">
      <alignment horizontal="center" vertical="center" wrapText="1"/>
    </xf>
    <xf numFmtId="4" fontId="13" fillId="5" borderId="16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4" fontId="39" fillId="0" borderId="30" xfId="0" applyNumberFormat="1" applyFont="1" applyBorder="1" applyAlignment="1">
      <alignment horizontal="center" vertical="center" wrapText="1"/>
    </xf>
    <xf numFmtId="4" fontId="39" fillId="0" borderId="41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center" vertical="center" wrapText="1"/>
    </xf>
    <xf numFmtId="4" fontId="39" fillId="0" borderId="59" xfId="0" applyNumberFormat="1" applyFont="1" applyBorder="1" applyAlignment="1">
      <alignment horizontal="center" vertical="center" wrapText="1"/>
    </xf>
    <xf numFmtId="4" fontId="39" fillId="0" borderId="29" xfId="0" applyNumberFormat="1" applyFont="1" applyBorder="1" applyAlignment="1">
      <alignment horizontal="center" vertical="center" wrapText="1"/>
    </xf>
    <xf numFmtId="4" fontId="39" fillId="0" borderId="40" xfId="0" applyNumberFormat="1" applyFont="1" applyBorder="1" applyAlignment="1">
      <alignment horizontal="center" vertical="center" wrapText="1"/>
    </xf>
    <xf numFmtId="4" fontId="39" fillId="0" borderId="27" xfId="0" applyNumberFormat="1" applyFont="1" applyFill="1" applyBorder="1" applyAlignment="1">
      <alignment horizontal="center" vertical="center" wrapText="1"/>
    </xf>
    <xf numFmtId="4" fontId="39" fillId="0" borderId="45" xfId="0" applyNumberFormat="1" applyFont="1" applyFill="1" applyBorder="1" applyAlignment="1">
      <alignment horizontal="center" vertical="center" wrapText="1"/>
    </xf>
    <xf numFmtId="4" fontId="39" fillId="0" borderId="30" xfId="0" applyNumberFormat="1" applyFont="1" applyFill="1" applyBorder="1" applyAlignment="1">
      <alignment horizontal="center" vertical="center" wrapText="1"/>
    </xf>
    <xf numFmtId="4" fontId="39" fillId="0" borderId="41" xfId="0" applyNumberFormat="1" applyFont="1" applyFill="1" applyBorder="1" applyAlignment="1">
      <alignment horizontal="center" vertical="center" wrapText="1"/>
    </xf>
    <xf numFmtId="4" fontId="39" fillId="0" borderId="29" xfId="0" applyNumberFormat="1" applyFont="1" applyFill="1" applyBorder="1" applyAlignment="1">
      <alignment horizontal="center" vertical="center" wrapText="1"/>
    </xf>
    <xf numFmtId="4" fontId="39" fillId="0" borderId="40" xfId="0" applyNumberFormat="1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4" fontId="39" fillId="0" borderId="60" xfId="0" applyNumberFormat="1" applyFont="1" applyFill="1" applyBorder="1" applyAlignment="1">
      <alignment horizontal="center" vertical="center" wrapText="1"/>
    </xf>
    <xf numFmtId="4" fontId="39" fillId="0" borderId="61" xfId="0" applyNumberFormat="1" applyFont="1" applyFill="1" applyBorder="1" applyAlignment="1">
      <alignment horizontal="center" vertical="center" wrapText="1"/>
    </xf>
    <xf numFmtId="168" fontId="39" fillId="0" borderId="30" xfId="0" applyNumberFormat="1" applyFont="1" applyFill="1" applyBorder="1" applyAlignment="1">
      <alignment horizontal="center" vertical="center" wrapText="1"/>
    </xf>
    <xf numFmtId="168" fontId="39" fillId="0" borderId="41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8" fontId="39" fillId="0" borderId="30" xfId="0" applyNumberFormat="1" applyFont="1" applyBorder="1" applyAlignment="1">
      <alignment horizontal="center" vertical="center" wrapText="1"/>
    </xf>
    <xf numFmtId="168" fontId="39" fillId="0" borderId="41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60" xfId="0" applyNumberFormat="1" applyFont="1" applyBorder="1" applyAlignment="1">
      <alignment horizontal="center" vertical="center" wrapText="1"/>
    </xf>
    <xf numFmtId="4" fontId="13" fillId="0" borderId="61" xfId="0" applyNumberFormat="1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Teresa\Moje%20dokumenty\GOK\2006\KSI&#280;GA%20G&#321;-GOK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WPI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S"/>
      <sheetName val="016"/>
      <sheetName val="071"/>
      <sheetName val="201-Z"/>
      <sheetName val="202-S"/>
      <sheetName val="221"/>
      <sheetName val="224"/>
      <sheetName val="227"/>
      <sheetName val="231"/>
      <sheetName val="234"/>
      <sheetName val="240"/>
      <sheetName val="4"/>
      <sheetName val="701"/>
      <sheetName val="702"/>
      <sheetName val="750-darow."/>
      <sheetName val="751 kty finans."/>
      <sheetName val="ASYGN."/>
      <sheetName val="Wykonanie"/>
      <sheetName val="plan, wykonanie"/>
    </sheetNames>
    <sheetDataSet>
      <sheetData sheetId="0">
        <row r="177">
          <cell r="AN177">
            <v>385</v>
          </cell>
          <cell r="AP177">
            <v>8780</v>
          </cell>
          <cell r="AR177">
            <v>0.85</v>
          </cell>
          <cell r="AV177">
            <v>99700</v>
          </cell>
        </row>
      </sheetData>
      <sheetData sheetId="11">
        <row r="208">
          <cell r="I208">
            <v>480</v>
          </cell>
          <cell r="K208">
            <v>5460.08</v>
          </cell>
          <cell r="M208">
            <v>399.66</v>
          </cell>
          <cell r="O208">
            <v>744.18</v>
          </cell>
          <cell r="Q208">
            <v>381.85</v>
          </cell>
          <cell r="W208">
            <v>776.36</v>
          </cell>
          <cell r="AG208">
            <v>17508.23</v>
          </cell>
          <cell r="AI208">
            <v>0</v>
          </cell>
          <cell r="AK208">
            <v>132.02</v>
          </cell>
          <cell r="AM208">
            <v>2961.6</v>
          </cell>
          <cell r="AO208">
            <v>998</v>
          </cell>
          <cell r="BI208">
            <v>1168.47</v>
          </cell>
          <cell r="BK208">
            <v>80</v>
          </cell>
          <cell r="BO208">
            <v>1429.07</v>
          </cell>
          <cell r="BQ208">
            <v>98.9</v>
          </cell>
          <cell r="BS208">
            <v>167.4</v>
          </cell>
          <cell r="BU208">
            <v>1000</v>
          </cell>
          <cell r="BY208">
            <v>2925</v>
          </cell>
          <cell r="CA208">
            <v>1737.45</v>
          </cell>
          <cell r="CE208">
            <v>46547.68</v>
          </cell>
          <cell r="CG208">
            <v>320</v>
          </cell>
          <cell r="CI208">
            <v>8600</v>
          </cell>
          <cell r="CK208">
            <v>1000</v>
          </cell>
          <cell r="CM208">
            <v>9708.19</v>
          </cell>
          <cell r="CW208">
            <v>2293</v>
          </cell>
          <cell r="DK208">
            <v>293</v>
          </cell>
          <cell r="DO208">
            <v>205.23</v>
          </cell>
          <cell r="DQ208">
            <v>991.44</v>
          </cell>
          <cell r="DU208">
            <v>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N36"/>
  <sheetViews>
    <sheetView zoomScale="150" zoomScaleNormal="150" workbookViewId="0" topLeftCell="B28">
      <selection activeCell="B2" sqref="B2:I35"/>
    </sheetView>
  </sheetViews>
  <sheetFormatPr defaultColWidth="9.140625" defaultRowHeight="12.75"/>
  <cols>
    <col min="1" max="1" width="3.140625" style="272" customWidth="1"/>
    <col min="2" max="2" width="23.00390625" style="272" customWidth="1"/>
    <col min="3" max="3" width="34.8515625" style="272" customWidth="1"/>
    <col min="4" max="4" width="15.00390625" style="272" hidden="1" customWidth="1"/>
    <col min="5" max="5" width="10.57421875" style="272" customWidth="1"/>
    <col min="6" max="6" width="11.57421875" style="272" customWidth="1"/>
    <col min="7" max="8" width="9.140625" style="272" customWidth="1"/>
    <col min="9" max="9" width="8.28125" style="272" customWidth="1"/>
    <col min="10" max="16384" width="9.140625" style="272" customWidth="1"/>
  </cols>
  <sheetData>
    <row r="2" spans="2:14" s="401" customFormat="1" ht="20.25">
      <c r="B2" s="578" t="s">
        <v>136</v>
      </c>
      <c r="C2" s="578"/>
      <c r="D2" s="578"/>
      <c r="E2" s="578"/>
      <c r="F2" s="578"/>
      <c r="G2" s="578"/>
      <c r="H2" s="578"/>
      <c r="I2" s="578"/>
      <c r="J2" s="400"/>
      <c r="K2" s="400"/>
      <c r="L2" s="400"/>
      <c r="M2" s="400"/>
      <c r="N2" s="400"/>
    </row>
    <row r="3" spans="2:14" s="401" customFormat="1" ht="20.25">
      <c r="B3" s="578" t="s">
        <v>137</v>
      </c>
      <c r="C3" s="578"/>
      <c r="D3" s="578"/>
      <c r="E3" s="578"/>
      <c r="F3" s="578"/>
      <c r="G3" s="578"/>
      <c r="H3" s="578"/>
      <c r="I3" s="578"/>
      <c r="J3" s="400"/>
      <c r="K3" s="400"/>
      <c r="L3" s="400"/>
      <c r="M3" s="400"/>
      <c r="N3" s="400"/>
    </row>
    <row r="4" spans="2:14" s="401" customFormat="1" ht="20.25">
      <c r="B4" s="578" t="s">
        <v>549</v>
      </c>
      <c r="C4" s="578"/>
      <c r="D4" s="578"/>
      <c r="E4" s="578"/>
      <c r="F4" s="578"/>
      <c r="G4" s="578"/>
      <c r="H4" s="578"/>
      <c r="I4" s="578"/>
      <c r="J4" s="400"/>
      <c r="K4" s="400"/>
      <c r="L4" s="400"/>
      <c r="M4" s="400"/>
      <c r="N4" s="400"/>
    </row>
    <row r="5" spans="2:9" ht="15.75">
      <c r="B5" s="399"/>
      <c r="C5" s="403"/>
      <c r="D5" s="403"/>
      <c r="E5" s="403"/>
      <c r="F5" s="402"/>
      <c r="G5" s="402"/>
      <c r="H5" s="402"/>
      <c r="I5" s="402"/>
    </row>
    <row r="6" spans="2:9" s="436" customFormat="1" ht="15.75">
      <c r="B6" s="399" t="s">
        <v>39</v>
      </c>
      <c r="C6" s="403"/>
      <c r="D6" s="403"/>
      <c r="E6" s="403"/>
      <c r="F6" s="402"/>
      <c r="G6" s="402"/>
      <c r="H6" s="402"/>
      <c r="I6" s="402"/>
    </row>
    <row r="7" spans="2:9" s="436" customFormat="1" ht="15.75">
      <c r="B7" s="398" t="s">
        <v>148</v>
      </c>
      <c r="C7" s="403"/>
      <c r="D7" s="403"/>
      <c r="E7" s="403"/>
      <c r="F7" s="402"/>
      <c r="G7" s="402"/>
      <c r="H7" s="402"/>
      <c r="I7" s="402"/>
    </row>
    <row r="8" spans="2:9" s="436" customFormat="1" ht="15.75">
      <c r="B8" s="444" t="s">
        <v>40</v>
      </c>
      <c r="C8" s="403"/>
      <c r="D8" s="403"/>
      <c r="E8" s="403"/>
      <c r="F8" s="402"/>
      <c r="G8" s="402"/>
      <c r="H8" s="402"/>
      <c r="I8" s="402"/>
    </row>
    <row r="9" spans="2:9" s="436" customFormat="1" ht="15.75">
      <c r="B9" s="444" t="s">
        <v>41</v>
      </c>
      <c r="C9" s="403"/>
      <c r="D9" s="403"/>
      <c r="E9" s="403"/>
      <c r="F9" s="402"/>
      <c r="G9" s="402"/>
      <c r="H9" s="402"/>
      <c r="I9" s="402"/>
    </row>
    <row r="10" spans="2:9" s="436" customFormat="1" ht="15.75">
      <c r="B10" s="444" t="s">
        <v>42</v>
      </c>
      <c r="C10" s="403"/>
      <c r="D10" s="403"/>
      <c r="E10" s="403"/>
      <c r="F10" s="402"/>
      <c r="G10" s="402"/>
      <c r="H10" s="402"/>
      <c r="I10" s="402"/>
    </row>
    <row r="11" spans="2:9" s="436" customFormat="1" ht="15.75">
      <c r="B11" s="444" t="s">
        <v>43</v>
      </c>
      <c r="C11" s="403"/>
      <c r="D11" s="403"/>
      <c r="E11" s="403"/>
      <c r="F11" s="402"/>
      <c r="G11" s="402"/>
      <c r="H11" s="402"/>
      <c r="I11" s="402"/>
    </row>
    <row r="12" spans="2:9" ht="15.75">
      <c r="B12" s="399"/>
      <c r="C12" s="403"/>
      <c r="D12" s="403"/>
      <c r="E12" s="403"/>
      <c r="F12" s="402"/>
      <c r="G12" s="402"/>
      <c r="H12" s="402"/>
      <c r="I12" s="402"/>
    </row>
    <row r="13" spans="2:14" s="436" customFormat="1" ht="39.75" customHeight="1">
      <c r="B13" s="576" t="s">
        <v>441</v>
      </c>
      <c r="C13" s="576"/>
      <c r="D13" s="576"/>
      <c r="E13" s="576"/>
      <c r="F13" s="576"/>
      <c r="G13" s="576"/>
      <c r="H13" s="576"/>
      <c r="I13" s="576"/>
      <c r="J13" s="261"/>
      <c r="K13" s="261"/>
      <c r="L13" s="261"/>
      <c r="M13" s="261"/>
      <c r="N13" s="261"/>
    </row>
    <row r="14" spans="2:9" s="436" customFormat="1" ht="15.75">
      <c r="B14" s="445" t="s">
        <v>44</v>
      </c>
      <c r="C14" s="403"/>
      <c r="D14" s="403"/>
      <c r="E14" s="398" t="s">
        <v>45</v>
      </c>
      <c r="F14" s="402"/>
      <c r="G14" s="402"/>
      <c r="H14" s="402"/>
      <c r="I14" s="402"/>
    </row>
    <row r="15" spans="2:9" s="436" customFormat="1" ht="15.75">
      <c r="B15" s="445" t="s">
        <v>46</v>
      </c>
      <c r="C15" s="403"/>
      <c r="D15" s="403"/>
      <c r="E15" s="398" t="s">
        <v>47</v>
      </c>
      <c r="F15" s="402"/>
      <c r="G15" s="402"/>
      <c r="H15" s="402"/>
      <c r="I15" s="402"/>
    </row>
    <row r="16" spans="2:9" s="436" customFormat="1" ht="15.75">
      <c r="B16" s="445" t="s">
        <v>48</v>
      </c>
      <c r="C16" s="403"/>
      <c r="D16" s="403"/>
      <c r="E16" s="399" t="s">
        <v>553</v>
      </c>
      <c r="F16" s="402"/>
      <c r="G16" s="402"/>
      <c r="H16" s="402"/>
      <c r="I16" s="402"/>
    </row>
    <row r="17" spans="2:9" s="436" customFormat="1" ht="15.75">
      <c r="B17" s="445" t="s">
        <v>49</v>
      </c>
      <c r="C17" s="403"/>
      <c r="D17" s="403"/>
      <c r="E17" s="399" t="s">
        <v>146</v>
      </c>
      <c r="F17" s="402"/>
      <c r="G17" s="402"/>
      <c r="H17" s="402"/>
      <c r="I17" s="402"/>
    </row>
    <row r="18" spans="2:9" ht="15.75">
      <c r="B18" s="398"/>
      <c r="C18" s="403"/>
      <c r="D18" s="403"/>
      <c r="E18" s="403"/>
      <c r="F18" s="402"/>
      <c r="G18" s="402"/>
      <c r="H18" s="402"/>
      <c r="I18" s="402"/>
    </row>
    <row r="19" spans="2:9" s="436" customFormat="1" ht="15.75">
      <c r="B19" s="398" t="s">
        <v>554</v>
      </c>
      <c r="C19" s="403"/>
      <c r="D19" s="403"/>
      <c r="E19" s="403"/>
      <c r="F19" s="402"/>
      <c r="G19" s="402"/>
      <c r="H19" s="402"/>
      <c r="I19" s="402"/>
    </row>
    <row r="20" spans="2:9" s="436" customFormat="1" ht="15.75">
      <c r="B20" s="445" t="s">
        <v>50</v>
      </c>
      <c r="C20" s="403"/>
      <c r="D20" s="399"/>
      <c r="E20" s="399" t="s">
        <v>51</v>
      </c>
      <c r="F20" s="402"/>
      <c r="G20" s="402"/>
      <c r="H20" s="402"/>
      <c r="I20" s="402"/>
    </row>
    <row r="21" spans="2:9" s="436" customFormat="1" ht="15.75">
      <c r="B21" s="445" t="s">
        <v>52</v>
      </c>
      <c r="C21" s="403"/>
      <c r="D21" s="399"/>
      <c r="E21" s="399" t="s">
        <v>53</v>
      </c>
      <c r="F21" s="402"/>
      <c r="G21" s="402"/>
      <c r="H21" s="402"/>
      <c r="I21" s="402"/>
    </row>
    <row r="22" spans="2:9" s="436" customFormat="1" ht="15.75">
      <c r="B22" s="445" t="s">
        <v>54</v>
      </c>
      <c r="C22" s="403"/>
      <c r="D22" s="398"/>
      <c r="E22" s="398" t="s">
        <v>55</v>
      </c>
      <c r="F22" s="402"/>
      <c r="G22" s="402"/>
      <c r="H22" s="402"/>
      <c r="I22" s="402"/>
    </row>
    <row r="23" spans="2:9" s="436" customFormat="1" ht="15.75">
      <c r="B23" s="445" t="s">
        <v>56</v>
      </c>
      <c r="C23" s="403"/>
      <c r="D23" s="398"/>
      <c r="E23" s="399" t="s">
        <v>57</v>
      </c>
      <c r="F23" s="402"/>
      <c r="G23" s="402"/>
      <c r="H23" s="402"/>
      <c r="I23" s="402"/>
    </row>
    <row r="24" spans="2:9" ht="15.75">
      <c r="B24" s="399"/>
      <c r="C24" s="403"/>
      <c r="D24" s="403"/>
      <c r="E24" s="403"/>
      <c r="F24" s="402"/>
      <c r="G24" s="402"/>
      <c r="H24" s="402"/>
      <c r="I24" s="402"/>
    </row>
    <row r="25" spans="2:5" s="402" customFormat="1" ht="31.5" customHeight="1">
      <c r="B25" s="576" t="s">
        <v>556</v>
      </c>
      <c r="C25" s="576"/>
      <c r="D25" s="398"/>
      <c r="E25" s="399" t="s">
        <v>58</v>
      </c>
    </row>
    <row r="26" spans="2:9" ht="34.5" customHeight="1">
      <c r="B26" s="576" t="s">
        <v>555</v>
      </c>
      <c r="C26" s="576"/>
      <c r="D26" s="398"/>
      <c r="E26" s="399" t="s">
        <v>59</v>
      </c>
      <c r="F26" s="402"/>
      <c r="G26" s="402"/>
      <c r="H26" s="402"/>
      <c r="I26" s="402"/>
    </row>
    <row r="27" spans="2:9" ht="15.75">
      <c r="B27" s="399" t="s">
        <v>1060</v>
      </c>
      <c r="C27" s="403"/>
      <c r="D27" s="403"/>
      <c r="E27" s="403"/>
      <c r="F27" s="402"/>
      <c r="G27" s="402"/>
      <c r="H27" s="402"/>
      <c r="I27" s="402"/>
    </row>
    <row r="28" spans="2:9" ht="15.75">
      <c r="B28" s="403"/>
      <c r="C28" s="398" t="s">
        <v>756</v>
      </c>
      <c r="D28" s="403"/>
      <c r="E28" s="403"/>
      <c r="F28" s="402"/>
      <c r="G28" s="402"/>
      <c r="H28" s="402"/>
      <c r="I28" s="402"/>
    </row>
    <row r="29" spans="2:9" ht="15.75">
      <c r="B29" s="403"/>
      <c r="C29" s="398" t="s">
        <v>60</v>
      </c>
      <c r="D29" s="403"/>
      <c r="E29" s="403"/>
      <c r="F29" s="402"/>
      <c r="G29" s="402"/>
      <c r="H29" s="402"/>
      <c r="I29" s="402"/>
    </row>
    <row r="30" spans="2:5" s="402" customFormat="1" ht="22.5" customHeight="1">
      <c r="B30" s="399" t="s">
        <v>61</v>
      </c>
      <c r="C30" s="403"/>
      <c r="D30" s="403"/>
      <c r="E30" s="403"/>
    </row>
    <row r="31" spans="2:9" ht="36.75" customHeight="1">
      <c r="B31" s="576" t="s">
        <v>759</v>
      </c>
      <c r="C31" s="576"/>
      <c r="D31" s="576"/>
      <c r="E31" s="576"/>
      <c r="F31" s="576"/>
      <c r="G31" s="576"/>
      <c r="H31" s="576"/>
      <c r="I31" s="576"/>
    </row>
    <row r="32" spans="2:9" s="500" customFormat="1" ht="35.25" customHeight="1">
      <c r="B32" s="576" t="s">
        <v>758</v>
      </c>
      <c r="C32" s="576"/>
      <c r="D32" s="576"/>
      <c r="E32" s="576"/>
      <c r="F32" s="576"/>
      <c r="G32" s="576"/>
      <c r="H32" s="576"/>
      <c r="I32" s="576"/>
    </row>
    <row r="33" spans="2:9" ht="21" customHeight="1">
      <c r="B33" s="399" t="s">
        <v>147</v>
      </c>
      <c r="C33" s="403"/>
      <c r="D33" s="403"/>
      <c r="E33" s="403"/>
      <c r="F33" s="402"/>
      <c r="G33" s="402"/>
      <c r="H33" s="402"/>
      <c r="I33" s="402"/>
    </row>
    <row r="34" spans="2:9" s="190" customFormat="1" ht="39" customHeight="1">
      <c r="B34" s="576" t="s">
        <v>757</v>
      </c>
      <c r="C34" s="577"/>
      <c r="D34" s="577"/>
      <c r="E34" s="577"/>
      <c r="F34" s="577"/>
      <c r="G34" s="577"/>
      <c r="H34" s="577"/>
      <c r="I34" s="577"/>
    </row>
    <row r="35" spans="2:9" s="190" customFormat="1" ht="39" customHeight="1">
      <c r="B35" s="576" t="s">
        <v>760</v>
      </c>
      <c r="C35" s="577"/>
      <c r="D35" s="577"/>
      <c r="E35" s="577"/>
      <c r="F35" s="577"/>
      <c r="G35" s="577"/>
      <c r="H35" s="577"/>
      <c r="I35" s="577"/>
    </row>
    <row r="36" spans="2:5" ht="15.75">
      <c r="B36" s="398"/>
      <c r="C36" s="271"/>
      <c r="D36" s="271"/>
      <c r="E36" s="271"/>
    </row>
  </sheetData>
  <mergeCells count="10">
    <mergeCell ref="B34:I34"/>
    <mergeCell ref="B35:I35"/>
    <mergeCell ref="B31:I31"/>
    <mergeCell ref="B2:I2"/>
    <mergeCell ref="B3:I3"/>
    <mergeCell ref="B4:I4"/>
    <mergeCell ref="B13:I13"/>
    <mergeCell ref="B25:C25"/>
    <mergeCell ref="B26:C26"/>
    <mergeCell ref="B32:I32"/>
  </mergeCells>
  <printOptions horizontalCentered="1"/>
  <pageMargins left="0.26" right="0.15748031496062992" top="0.64" bottom="0.4724409448818898" header="0.62" footer="0.4724409448818898"/>
  <pageSetup fitToHeight="1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F87"/>
  <sheetViews>
    <sheetView zoomScale="150" zoomScaleNormal="150" workbookViewId="0" topLeftCell="A1">
      <selection activeCell="A35" sqref="A35:F87"/>
    </sheetView>
  </sheetViews>
  <sheetFormatPr defaultColWidth="9.140625" defaultRowHeight="12.75"/>
  <cols>
    <col min="1" max="1" width="8.8515625" style="0" customWidth="1"/>
    <col min="2" max="2" width="23.7109375" style="0" customWidth="1"/>
    <col min="3" max="3" width="19.140625" style="0" customWidth="1"/>
    <col min="4" max="4" width="21.28125" style="0" customWidth="1"/>
    <col min="5" max="5" width="6.421875" style="0" bestFit="1" customWidth="1"/>
    <col min="6" max="6" width="27.7109375" style="270" customWidth="1"/>
  </cols>
  <sheetData>
    <row r="1" spans="1:6" ht="12.75">
      <c r="A1" s="184"/>
      <c r="B1" s="184"/>
      <c r="C1" s="42"/>
      <c r="D1" s="184"/>
      <c r="E1" s="75"/>
      <c r="F1" s="180" t="s">
        <v>595</v>
      </c>
    </row>
    <row r="2" spans="1:6" ht="12.75">
      <c r="A2" s="184"/>
      <c r="B2" s="184"/>
      <c r="C2" s="184"/>
      <c r="D2" s="184"/>
      <c r="E2" s="184"/>
      <c r="F2" s="327"/>
    </row>
    <row r="3" spans="1:6" ht="15.75">
      <c r="A3" s="644"/>
      <c r="B3" s="644"/>
      <c r="C3" s="644"/>
      <c r="D3" s="644"/>
      <c r="E3" s="644"/>
      <c r="F3" s="644"/>
    </row>
    <row r="4" spans="1:6" ht="17.25" customHeight="1" thickBot="1">
      <c r="A4" s="183"/>
      <c r="B4" s="386" t="s">
        <v>1100</v>
      </c>
      <c r="C4" s="184"/>
      <c r="D4" s="184"/>
      <c r="E4" s="184"/>
      <c r="F4" s="184"/>
    </row>
    <row r="5" spans="1:6" s="394" customFormat="1" ht="37.5" customHeight="1">
      <c r="A5" s="650" t="s">
        <v>1063</v>
      </c>
      <c r="B5" s="650" t="s">
        <v>1064</v>
      </c>
      <c r="C5" s="588" t="s">
        <v>79</v>
      </c>
      <c r="D5" s="588" t="s">
        <v>80</v>
      </c>
      <c r="E5" s="650" t="s">
        <v>308</v>
      </c>
      <c r="F5" s="650"/>
    </row>
    <row r="6" spans="1:6" s="394" customFormat="1" ht="18" customHeight="1" thickBot="1">
      <c r="A6" s="651"/>
      <c r="B6" s="651"/>
      <c r="C6" s="570"/>
      <c r="D6" s="570"/>
      <c r="E6" s="651"/>
      <c r="F6" s="651"/>
    </row>
    <row r="7" spans="1:6" ht="12.75">
      <c r="A7" s="220"/>
      <c r="B7" s="220"/>
      <c r="C7" s="220"/>
      <c r="D7" s="220"/>
      <c r="E7" s="220"/>
      <c r="F7" s="220"/>
    </row>
    <row r="8" spans="1:6" ht="12.75" customHeight="1">
      <c r="A8" s="223">
        <v>80104</v>
      </c>
      <c r="B8" s="224" t="s">
        <v>1</v>
      </c>
      <c r="C8" s="321">
        <f>SUM(C9:C11)</f>
        <v>81850</v>
      </c>
      <c r="D8" s="321">
        <f>SUM(D9:D11)</f>
        <v>33119.42</v>
      </c>
      <c r="E8" s="156">
        <f aca="true" t="shared" si="0" ref="E8:E13">D8*100/C8</f>
        <v>40.4635552840562</v>
      </c>
      <c r="F8" s="225"/>
    </row>
    <row r="9" spans="1:6" ht="12.75">
      <c r="A9" s="237" t="s">
        <v>669</v>
      </c>
      <c r="B9" s="238" t="s">
        <v>670</v>
      </c>
      <c r="C9" s="229">
        <v>78000</v>
      </c>
      <c r="D9" s="229">
        <v>31398.69</v>
      </c>
      <c r="E9" s="34">
        <f t="shared" si="0"/>
        <v>40.25473076923077</v>
      </c>
      <c r="F9" s="580" t="s">
        <v>1030</v>
      </c>
    </row>
    <row r="10" spans="1:6" ht="12.75">
      <c r="A10" s="237" t="s">
        <v>359</v>
      </c>
      <c r="B10" s="238" t="s">
        <v>360</v>
      </c>
      <c r="C10" s="229">
        <v>300</v>
      </c>
      <c r="D10" s="229">
        <v>10.73</v>
      </c>
      <c r="E10" s="34">
        <f t="shared" si="0"/>
        <v>3.5766666666666667</v>
      </c>
      <c r="F10" s="637"/>
    </row>
    <row r="11" spans="1:6" ht="39" thickBot="1">
      <c r="A11" s="31" t="s">
        <v>212</v>
      </c>
      <c r="B11" s="32" t="s">
        <v>1107</v>
      </c>
      <c r="C11" s="52">
        <v>3550</v>
      </c>
      <c r="D11" s="34">
        <v>1710</v>
      </c>
      <c r="E11" s="34">
        <f t="shared" si="0"/>
        <v>48.16901408450704</v>
      </c>
      <c r="F11" s="637"/>
    </row>
    <row r="12" spans="1:6" ht="12.75">
      <c r="A12" s="220"/>
      <c r="B12" s="220"/>
      <c r="C12" s="220"/>
      <c r="D12" s="220"/>
      <c r="E12" s="220"/>
      <c r="F12" s="220"/>
    </row>
    <row r="13" spans="1:6" ht="12.75">
      <c r="A13" s="223">
        <v>80104</v>
      </c>
      <c r="B13" s="224" t="s">
        <v>1095</v>
      </c>
      <c r="C13" s="225">
        <f>SUM(C14:C17)</f>
        <v>81850</v>
      </c>
      <c r="D13" s="225">
        <f>SUM(D14:D17)</f>
        <v>31901.72</v>
      </c>
      <c r="E13" s="156">
        <f t="shared" si="0"/>
        <v>38.97583384239462</v>
      </c>
      <c r="F13" s="225"/>
    </row>
    <row r="14" spans="1:6" ht="25.5" customHeight="1">
      <c r="A14" s="31">
        <v>4210</v>
      </c>
      <c r="B14" s="32" t="s">
        <v>469</v>
      </c>
      <c r="C14" s="69">
        <v>2550</v>
      </c>
      <c r="D14" s="69">
        <v>370</v>
      </c>
      <c r="E14" s="34">
        <f>D14*100/C14</f>
        <v>14.509803921568627</v>
      </c>
      <c r="F14" s="580" t="s">
        <v>1111</v>
      </c>
    </row>
    <row r="15" spans="1:6" ht="12.75">
      <c r="A15" s="31">
        <v>4220</v>
      </c>
      <c r="B15" s="32" t="s">
        <v>1108</v>
      </c>
      <c r="C15" s="69">
        <v>78000</v>
      </c>
      <c r="D15" s="69">
        <v>30400.32</v>
      </c>
      <c r="E15" s="34">
        <f>D15*100/C15</f>
        <v>38.97476923076923</v>
      </c>
      <c r="F15" s="637"/>
    </row>
    <row r="16" spans="1:6" ht="25.5">
      <c r="A16" s="31">
        <v>4240</v>
      </c>
      <c r="B16" s="32" t="s">
        <v>536</v>
      </c>
      <c r="C16" s="69">
        <v>700</v>
      </c>
      <c r="D16" s="69">
        <v>700</v>
      </c>
      <c r="E16" s="34">
        <f>D16*100/C16</f>
        <v>100</v>
      </c>
      <c r="F16" s="637"/>
    </row>
    <row r="17" spans="1:6" ht="13.5" thickBot="1">
      <c r="A17" s="31">
        <v>4300</v>
      </c>
      <c r="B17" s="32" t="s">
        <v>471</v>
      </c>
      <c r="C17" s="69">
        <v>600</v>
      </c>
      <c r="D17" s="69">
        <v>431.4</v>
      </c>
      <c r="E17" s="34">
        <f>D17*100/C17</f>
        <v>71.9</v>
      </c>
      <c r="F17" s="581"/>
    </row>
    <row r="18" spans="1:6" ht="12.75" customHeight="1" hidden="1">
      <c r="A18" s="220"/>
      <c r="B18" s="220"/>
      <c r="C18" s="220"/>
      <c r="D18" s="220"/>
      <c r="E18" s="220"/>
      <c r="F18" s="220"/>
    </row>
    <row r="19" spans="1:6" ht="12.75" customHeight="1" hidden="1">
      <c r="A19" s="223"/>
      <c r="B19" s="224"/>
      <c r="C19" s="225"/>
      <c r="D19" s="225"/>
      <c r="E19" s="225"/>
      <c r="F19" s="225"/>
    </row>
    <row r="20" spans="1:6" ht="12.75" hidden="1">
      <c r="A20" s="63"/>
      <c r="B20" s="64"/>
      <c r="C20" s="80"/>
      <c r="D20" s="80"/>
      <c r="E20" s="243"/>
      <c r="F20" s="580"/>
    </row>
    <row r="21" spans="1:6" ht="12.75" hidden="1">
      <c r="A21" s="240"/>
      <c r="B21" s="241"/>
      <c r="C21" s="242"/>
      <c r="D21" s="242"/>
      <c r="E21" s="243"/>
      <c r="F21" s="637"/>
    </row>
    <row r="22" spans="1:6" ht="12.75" hidden="1">
      <c r="A22" s="237"/>
      <c r="B22" s="238"/>
      <c r="C22" s="229"/>
      <c r="D22" s="229"/>
      <c r="E22" s="243"/>
      <c r="F22" s="637"/>
    </row>
    <row r="23" spans="1:6" ht="12.75" hidden="1">
      <c r="A23" s="78"/>
      <c r="B23" s="32"/>
      <c r="C23" s="229"/>
      <c r="D23" s="229"/>
      <c r="E23" s="243"/>
      <c r="F23" s="581"/>
    </row>
    <row r="24" spans="1:6" ht="25.5" customHeight="1" hidden="1">
      <c r="A24" s="244"/>
      <c r="B24" s="244"/>
      <c r="C24" s="244"/>
      <c r="D24" s="244"/>
      <c r="E24" s="244"/>
      <c r="F24" s="244"/>
    </row>
    <row r="25" spans="1:6" ht="25.5" customHeight="1" hidden="1">
      <c r="A25" s="223"/>
      <c r="B25" s="224"/>
      <c r="C25" s="225"/>
      <c r="D25" s="225"/>
      <c r="E25" s="225"/>
      <c r="F25" s="225"/>
    </row>
    <row r="26" spans="1:6" ht="12.75" hidden="1">
      <c r="A26" s="31"/>
      <c r="B26" s="32"/>
      <c r="C26" s="69"/>
      <c r="D26" s="69"/>
      <c r="E26" s="34"/>
      <c r="F26" s="649"/>
    </row>
    <row r="27" spans="1:6" ht="12.75" hidden="1">
      <c r="A27" s="31"/>
      <c r="B27" s="32"/>
      <c r="C27" s="69"/>
      <c r="D27" s="69"/>
      <c r="E27" s="34"/>
      <c r="F27" s="649"/>
    </row>
    <row r="28" spans="1:6" ht="12.75" customHeight="1" hidden="1">
      <c r="A28" s="232"/>
      <c r="B28" s="317"/>
      <c r="C28" s="239"/>
      <c r="D28" s="239"/>
      <c r="E28" s="34"/>
      <c r="F28" s="649"/>
    </row>
    <row r="29" spans="1:6" ht="12.75" customHeight="1" hidden="1" thickBot="1">
      <c r="A29" s="322"/>
      <c r="B29" s="323"/>
      <c r="C29" s="324"/>
      <c r="D29" s="324"/>
      <c r="E29" s="34"/>
      <c r="F29" s="387"/>
    </row>
    <row r="30" spans="1:6" ht="12.75" customHeight="1">
      <c r="A30" s="220"/>
      <c r="B30" s="220"/>
      <c r="C30" s="220"/>
      <c r="D30" s="220"/>
      <c r="E30" s="220"/>
      <c r="F30" s="388"/>
    </row>
    <row r="31" spans="1:6" ht="12.75" customHeight="1">
      <c r="A31" s="639" t="s">
        <v>1029</v>
      </c>
      <c r="B31" s="640"/>
      <c r="C31" s="19">
        <v>15000</v>
      </c>
      <c r="D31" s="19">
        <v>11430.52</v>
      </c>
      <c r="E31" s="325"/>
      <c r="F31" s="389"/>
    </row>
    <row r="32" spans="1:6" ht="12.75" customHeight="1">
      <c r="A32" s="641" t="s">
        <v>2</v>
      </c>
      <c r="B32" s="642"/>
      <c r="C32" s="225">
        <f>C8</f>
        <v>81850</v>
      </c>
      <c r="D32" s="225">
        <f>D8</f>
        <v>33119.42</v>
      </c>
      <c r="E32" s="225">
        <f>D32*100/C32</f>
        <v>40.4635552840562</v>
      </c>
      <c r="F32" s="389"/>
    </row>
    <row r="33" spans="1:6" ht="12.75">
      <c r="A33" s="641" t="s">
        <v>1109</v>
      </c>
      <c r="B33" s="642"/>
      <c r="C33" s="225">
        <f>C13+C25</f>
        <v>81850</v>
      </c>
      <c r="D33" s="225">
        <f>D13+D25</f>
        <v>31901.72</v>
      </c>
      <c r="E33" s="225">
        <f>D33*100/C33</f>
        <v>38.97583384239462</v>
      </c>
      <c r="F33" s="390"/>
    </row>
    <row r="34" spans="1:6" ht="16.5" thickBot="1">
      <c r="A34" s="183"/>
      <c r="B34" s="386"/>
      <c r="C34" s="184"/>
      <c r="D34" s="184"/>
      <c r="E34" s="184"/>
      <c r="F34" s="184"/>
    </row>
    <row r="35" spans="1:6" s="275" customFormat="1" ht="29.25" customHeight="1">
      <c r="A35" s="588" t="s">
        <v>1063</v>
      </c>
      <c r="B35" s="588" t="s">
        <v>1064</v>
      </c>
      <c r="C35" s="588" t="s">
        <v>79</v>
      </c>
      <c r="D35" s="588" t="s">
        <v>80</v>
      </c>
      <c r="E35" s="588" t="s">
        <v>308</v>
      </c>
      <c r="F35" s="588"/>
    </row>
    <row r="36" spans="1:6" s="275" customFormat="1" ht="39" customHeight="1" thickBot="1">
      <c r="A36" s="570"/>
      <c r="B36" s="570"/>
      <c r="C36" s="570"/>
      <c r="D36" s="570"/>
      <c r="E36" s="570"/>
      <c r="F36" s="570"/>
    </row>
    <row r="37" spans="1:6" s="275" customFormat="1" ht="16.5" thickBot="1">
      <c r="A37" s="646" t="s">
        <v>1101</v>
      </c>
      <c r="B37" s="647"/>
      <c r="C37" s="647"/>
      <c r="D37" s="647"/>
      <c r="E37" s="647"/>
      <c r="F37" s="648"/>
    </row>
    <row r="38" spans="1:6" ht="12.75">
      <c r="A38" s="220"/>
      <c r="B38" s="220"/>
      <c r="C38" s="220"/>
      <c r="D38" s="220"/>
      <c r="E38" s="220"/>
      <c r="F38" s="220"/>
    </row>
    <row r="39" spans="1:6" ht="12.75">
      <c r="A39" s="223">
        <v>80101</v>
      </c>
      <c r="B39" s="224" t="s">
        <v>1</v>
      </c>
      <c r="C39" s="225">
        <f>SUM(C40:C42)</f>
        <v>41300</v>
      </c>
      <c r="D39" s="225">
        <f>SUM(D40:D42)</f>
        <v>16731.68</v>
      </c>
      <c r="E39" s="326">
        <f aca="true" t="shared" si="1" ref="E39:E44">D39*100/C39</f>
        <v>40.512542372881356</v>
      </c>
      <c r="F39" s="225"/>
    </row>
    <row r="40" spans="1:6" s="272" customFormat="1" ht="16.5" customHeight="1">
      <c r="A40" s="78" t="s">
        <v>669</v>
      </c>
      <c r="B40" s="79" t="s">
        <v>670</v>
      </c>
      <c r="C40" s="69">
        <v>40000</v>
      </c>
      <c r="D40" s="69">
        <v>16419.55</v>
      </c>
      <c r="E40" s="34">
        <f t="shared" si="1"/>
        <v>41.048875</v>
      </c>
      <c r="F40" s="580" t="s">
        <v>1030</v>
      </c>
    </row>
    <row r="41" spans="1:6" ht="12.75">
      <c r="A41" s="237" t="s">
        <v>359</v>
      </c>
      <c r="B41" s="238" t="s">
        <v>360</v>
      </c>
      <c r="C41" s="229">
        <v>300</v>
      </c>
      <c r="D41" s="229">
        <v>12.13</v>
      </c>
      <c r="E41" s="34">
        <f t="shared" si="1"/>
        <v>4.043333333333333</v>
      </c>
      <c r="F41" s="637"/>
    </row>
    <row r="42" spans="1:6" ht="43.5" customHeight="1" thickBot="1">
      <c r="A42" s="31" t="s">
        <v>212</v>
      </c>
      <c r="B42" s="32" t="s">
        <v>1107</v>
      </c>
      <c r="C42" s="52">
        <v>1000</v>
      </c>
      <c r="D42" s="34">
        <v>300</v>
      </c>
      <c r="E42" s="34">
        <f t="shared" si="1"/>
        <v>30</v>
      </c>
      <c r="F42" s="637"/>
    </row>
    <row r="43" spans="1:6" ht="12.75">
      <c r="A43" s="220"/>
      <c r="B43" s="220"/>
      <c r="C43" s="220"/>
      <c r="D43" s="220"/>
      <c r="E43" s="220"/>
      <c r="F43" s="220"/>
    </row>
    <row r="44" spans="1:6" ht="12.75">
      <c r="A44" s="223">
        <v>80101</v>
      </c>
      <c r="B44" s="224" t="s">
        <v>1095</v>
      </c>
      <c r="C44" s="225">
        <f>SUM(C45:C47)</f>
        <v>41300</v>
      </c>
      <c r="D44" s="225">
        <f>SUM(D45:D47)</f>
        <v>15595.39</v>
      </c>
      <c r="E44" s="156">
        <f t="shared" si="1"/>
        <v>37.76123486682809</v>
      </c>
      <c r="F44" s="225"/>
    </row>
    <row r="45" spans="1:6" ht="25.5">
      <c r="A45" s="31">
        <v>4210</v>
      </c>
      <c r="B45" s="32" t="s">
        <v>469</v>
      </c>
      <c r="C45" s="69">
        <v>700</v>
      </c>
      <c r="D45" s="69"/>
      <c r="E45" s="34">
        <f>D45*100/C45</f>
        <v>0</v>
      </c>
      <c r="F45" s="580" t="s">
        <v>81</v>
      </c>
    </row>
    <row r="46" spans="1:6" ht="12.75">
      <c r="A46" s="31">
        <v>4220</v>
      </c>
      <c r="B46" s="32" t="s">
        <v>1108</v>
      </c>
      <c r="C46" s="69">
        <v>40000</v>
      </c>
      <c r="D46" s="69">
        <v>15431.59</v>
      </c>
      <c r="E46" s="34">
        <f>D46*100/C46</f>
        <v>38.578975</v>
      </c>
      <c r="F46" s="637"/>
    </row>
    <row r="47" spans="1:6" ht="13.5" thickBot="1">
      <c r="A47" s="31">
        <v>4300</v>
      </c>
      <c r="B47" s="32" t="s">
        <v>471</v>
      </c>
      <c r="C47" s="69">
        <v>600</v>
      </c>
      <c r="D47" s="69">
        <v>163.8</v>
      </c>
      <c r="E47" s="34">
        <f>D47*100/C47</f>
        <v>27.300000000000004</v>
      </c>
      <c r="F47" s="581"/>
    </row>
    <row r="48" spans="1:6" ht="12.75">
      <c r="A48" s="220"/>
      <c r="B48" s="220"/>
      <c r="C48" s="220"/>
      <c r="D48" s="220"/>
      <c r="E48" s="220"/>
      <c r="F48" s="388"/>
    </row>
    <row r="49" spans="1:6" ht="12.75">
      <c r="A49" s="639" t="s">
        <v>1029</v>
      </c>
      <c r="B49" s="640"/>
      <c r="C49" s="19">
        <v>16000</v>
      </c>
      <c r="D49" s="19">
        <v>13318.73</v>
      </c>
      <c r="E49" s="325"/>
      <c r="F49" s="389"/>
    </row>
    <row r="50" spans="1:6" ht="12.75" customHeight="1">
      <c r="A50" s="641" t="s">
        <v>2</v>
      </c>
      <c r="B50" s="642"/>
      <c r="C50" s="225">
        <f>C39</f>
        <v>41300</v>
      </c>
      <c r="D50" s="225">
        <f>D39</f>
        <v>16731.68</v>
      </c>
      <c r="E50" s="225">
        <f>D50*100/C50</f>
        <v>40.512542372881356</v>
      </c>
      <c r="F50" s="389"/>
    </row>
    <row r="51" spans="1:6" ht="12.75">
      <c r="A51" s="641" t="s">
        <v>1109</v>
      </c>
      <c r="B51" s="642"/>
      <c r="C51" s="225">
        <f>C44</f>
        <v>41300</v>
      </c>
      <c r="D51" s="225">
        <f>D44</f>
        <v>15595.39</v>
      </c>
      <c r="E51" s="225">
        <f>D51*100/C51</f>
        <v>37.76123486682809</v>
      </c>
      <c r="F51" s="390"/>
    </row>
    <row r="52" spans="1:6" ht="15.75" customHeight="1" thickBot="1">
      <c r="A52" s="645" t="s">
        <v>1077</v>
      </c>
      <c r="B52" s="645"/>
      <c r="C52" s="645"/>
      <c r="D52" s="645"/>
      <c r="E52" s="645"/>
      <c r="F52" s="645"/>
    </row>
    <row r="53" spans="1:6" ht="12.75">
      <c r="A53" s="220"/>
      <c r="B53" s="220"/>
      <c r="C53" s="220"/>
      <c r="D53" s="220"/>
      <c r="E53" s="220"/>
      <c r="F53" s="220"/>
    </row>
    <row r="54" spans="1:6" ht="12.75">
      <c r="A54" s="223">
        <v>80101</v>
      </c>
      <c r="B54" s="224" t="s">
        <v>1</v>
      </c>
      <c r="C54" s="456">
        <f>SUM(C55:C57)</f>
        <v>18600</v>
      </c>
      <c r="D54" s="456">
        <f>SUM(D55:D57)</f>
        <v>8147.41</v>
      </c>
      <c r="E54" s="156">
        <f>D54*100/C54</f>
        <v>43.803279569892474</v>
      </c>
      <c r="F54" s="225"/>
    </row>
    <row r="55" spans="1:6" s="272" customFormat="1" ht="18.75" customHeight="1">
      <c r="A55" s="78" t="s">
        <v>669</v>
      </c>
      <c r="B55" s="79" t="s">
        <v>670</v>
      </c>
      <c r="C55" s="69">
        <v>18000</v>
      </c>
      <c r="D55" s="69">
        <v>8146.07</v>
      </c>
      <c r="E55" s="34">
        <f>D55*100/C55</f>
        <v>45.255944444444445</v>
      </c>
      <c r="F55" s="580" t="s">
        <v>1030</v>
      </c>
    </row>
    <row r="56" spans="1:6" ht="18" customHeight="1">
      <c r="A56" s="237" t="s">
        <v>359</v>
      </c>
      <c r="B56" s="238" t="s">
        <v>360</v>
      </c>
      <c r="C56" s="229">
        <v>100</v>
      </c>
      <c r="D56" s="229">
        <v>1.34</v>
      </c>
      <c r="E56" s="34">
        <f>D56*100/C56</f>
        <v>1.34</v>
      </c>
      <c r="F56" s="637"/>
    </row>
    <row r="57" spans="1:6" ht="44.25" customHeight="1" thickBot="1">
      <c r="A57" s="31" t="s">
        <v>212</v>
      </c>
      <c r="B57" s="32" t="s">
        <v>1107</v>
      </c>
      <c r="C57" s="52">
        <v>500</v>
      </c>
      <c r="D57" s="34"/>
      <c r="E57" s="34">
        <f>D57*100/C57</f>
        <v>0</v>
      </c>
      <c r="F57" s="638"/>
    </row>
    <row r="58" spans="1:6" ht="12.75">
      <c r="A58" s="220"/>
      <c r="B58" s="220"/>
      <c r="C58" s="220"/>
      <c r="D58" s="220"/>
      <c r="E58" s="220"/>
      <c r="F58" s="220"/>
    </row>
    <row r="59" spans="1:6" ht="12.75">
      <c r="A59" s="223">
        <v>80101</v>
      </c>
      <c r="B59" s="224" t="s">
        <v>1095</v>
      </c>
      <c r="C59" s="225">
        <f>SUM(C60:C63)</f>
        <v>18600</v>
      </c>
      <c r="D59" s="225">
        <f>SUM(D60:D63)</f>
        <v>7390.41</v>
      </c>
      <c r="E59" s="225"/>
      <c r="F59" s="225"/>
    </row>
    <row r="60" spans="1:6" ht="25.5">
      <c r="A60" s="31">
        <v>4210</v>
      </c>
      <c r="B60" s="32" t="s">
        <v>469</v>
      </c>
      <c r="C60" s="69">
        <v>100</v>
      </c>
      <c r="D60" s="69"/>
      <c r="E60" s="34">
        <f>D60*100/C60</f>
        <v>0</v>
      </c>
      <c r="F60" s="580" t="s">
        <v>82</v>
      </c>
    </row>
    <row r="61" spans="1:6" ht="12.75">
      <c r="A61" s="31">
        <v>4220</v>
      </c>
      <c r="B61" s="32" t="s">
        <v>1108</v>
      </c>
      <c r="C61" s="69">
        <v>18000</v>
      </c>
      <c r="D61" s="69">
        <v>7139.33</v>
      </c>
      <c r="E61" s="34">
        <f>D61*100/C61</f>
        <v>39.66294444444444</v>
      </c>
      <c r="F61" s="637"/>
    </row>
    <row r="62" spans="1:6" ht="25.5">
      <c r="A62" s="31">
        <v>4240</v>
      </c>
      <c r="B62" s="32" t="s">
        <v>536</v>
      </c>
      <c r="C62" s="69">
        <v>150</v>
      </c>
      <c r="D62" s="69">
        <v>110</v>
      </c>
      <c r="E62" s="34">
        <f>D62*100/C62</f>
        <v>73.33333333333333</v>
      </c>
      <c r="F62" s="637"/>
    </row>
    <row r="63" spans="1:6" ht="12.75">
      <c r="A63" s="31">
        <v>4300</v>
      </c>
      <c r="B63" s="32" t="s">
        <v>471</v>
      </c>
      <c r="C63" s="69">
        <v>350</v>
      </c>
      <c r="D63" s="69">
        <v>141.08</v>
      </c>
      <c r="E63" s="34">
        <f>D63*100/C63</f>
        <v>40.30857142857143</v>
      </c>
      <c r="F63" s="581"/>
    </row>
    <row r="64" spans="1:6" ht="13.5" thickBot="1">
      <c r="A64" s="31"/>
      <c r="B64" s="32"/>
      <c r="C64" s="69"/>
      <c r="D64" s="69"/>
      <c r="E64" s="34"/>
      <c r="F64" s="387"/>
    </row>
    <row r="65" spans="1:6" ht="12.75">
      <c r="A65" s="220"/>
      <c r="B65" s="220"/>
      <c r="C65" s="220"/>
      <c r="D65" s="220"/>
      <c r="E65" s="220"/>
      <c r="F65" s="388"/>
    </row>
    <row r="66" spans="1:6" ht="12.75">
      <c r="A66" s="639" t="s">
        <v>1029</v>
      </c>
      <c r="B66" s="640"/>
      <c r="C66" s="19">
        <v>2000</v>
      </c>
      <c r="D66" s="19">
        <v>1818.37</v>
      </c>
      <c r="E66" s="325"/>
      <c r="F66" s="389"/>
    </row>
    <row r="67" spans="1:6" ht="12.75" customHeight="1">
      <c r="A67" s="641" t="s">
        <v>2</v>
      </c>
      <c r="B67" s="642"/>
      <c r="C67" s="225">
        <f>C54</f>
        <v>18600</v>
      </c>
      <c r="D67" s="225">
        <f>D54</f>
        <v>8147.41</v>
      </c>
      <c r="E67" s="225">
        <f>D67*100/C67</f>
        <v>43.803279569892474</v>
      </c>
      <c r="F67" s="389"/>
    </row>
    <row r="68" spans="1:6" ht="12.75">
      <c r="A68" s="641" t="s">
        <v>1109</v>
      </c>
      <c r="B68" s="642"/>
      <c r="C68" s="225">
        <f>C59</f>
        <v>18600</v>
      </c>
      <c r="D68" s="225">
        <f>D59</f>
        <v>7390.41</v>
      </c>
      <c r="E68" s="225">
        <f>D68*100/C68</f>
        <v>39.733387096774194</v>
      </c>
      <c r="F68" s="390"/>
    </row>
    <row r="69" spans="1:6" ht="15.75" customHeight="1" thickBot="1">
      <c r="A69" s="645" t="s">
        <v>1110</v>
      </c>
      <c r="B69" s="645"/>
      <c r="C69" s="645"/>
      <c r="D69" s="645"/>
      <c r="E69" s="645"/>
      <c r="F69" s="645"/>
    </row>
    <row r="70" spans="1:6" ht="12.75">
      <c r="A70" s="220"/>
      <c r="B70" s="220"/>
      <c r="C70" s="220"/>
      <c r="D70" s="220"/>
      <c r="E70" s="220"/>
      <c r="F70" s="220"/>
    </row>
    <row r="71" spans="1:6" ht="12.75">
      <c r="A71" s="223">
        <v>80101</v>
      </c>
      <c r="B71" s="224" t="s">
        <v>1</v>
      </c>
      <c r="C71" s="456">
        <f>SUM(C72:C76)</f>
        <v>95300</v>
      </c>
      <c r="D71" s="456">
        <f>SUM(D72:D76)</f>
        <v>49548.78999999999</v>
      </c>
      <c r="E71" s="156">
        <f aca="true" t="shared" si="2" ref="E71:E78">D71*100/C71</f>
        <v>51.99243441762853</v>
      </c>
      <c r="F71" s="225"/>
    </row>
    <row r="72" spans="1:6" ht="12.75">
      <c r="A72" s="237" t="s">
        <v>367</v>
      </c>
      <c r="B72" s="238" t="s">
        <v>368</v>
      </c>
      <c r="C72" s="229">
        <v>10000</v>
      </c>
      <c r="D72" s="229">
        <v>0</v>
      </c>
      <c r="E72" s="34">
        <f t="shared" si="2"/>
        <v>0</v>
      </c>
      <c r="F72" s="637"/>
    </row>
    <row r="73" spans="1:6" ht="12.75">
      <c r="A73" s="237" t="s">
        <v>669</v>
      </c>
      <c r="B73" s="238" t="s">
        <v>670</v>
      </c>
      <c r="C73" s="229">
        <v>60000</v>
      </c>
      <c r="D73" s="229">
        <v>37106.7</v>
      </c>
      <c r="E73" s="34">
        <f t="shared" si="2"/>
        <v>61.84449999999999</v>
      </c>
      <c r="F73" s="637"/>
    </row>
    <row r="74" spans="1:6" ht="12.75">
      <c r="A74" s="237" t="s">
        <v>359</v>
      </c>
      <c r="B74" s="238" t="s">
        <v>360</v>
      </c>
      <c r="C74" s="69">
        <v>300</v>
      </c>
      <c r="D74" s="69">
        <v>15.39</v>
      </c>
      <c r="E74" s="34">
        <f t="shared" si="2"/>
        <v>5.13</v>
      </c>
      <c r="F74" s="637"/>
    </row>
    <row r="75" spans="1:6" s="272" customFormat="1" ht="38.25">
      <c r="A75" s="31" t="s">
        <v>212</v>
      </c>
      <c r="B75" s="32" t="s">
        <v>1107</v>
      </c>
      <c r="C75" s="69">
        <v>20000</v>
      </c>
      <c r="D75" s="69">
        <v>12426.7</v>
      </c>
      <c r="E75" s="34">
        <f t="shared" si="2"/>
        <v>62.1335</v>
      </c>
      <c r="F75" s="637"/>
    </row>
    <row r="76" spans="1:6" ht="13.5" thickBot="1">
      <c r="A76" s="31" t="s">
        <v>671</v>
      </c>
      <c r="B76" s="32" t="s">
        <v>368</v>
      </c>
      <c r="C76" s="52">
        <v>5000</v>
      </c>
      <c r="D76" s="34">
        <v>0</v>
      </c>
      <c r="E76" s="34">
        <f t="shared" si="2"/>
        <v>0</v>
      </c>
      <c r="F76" s="638"/>
    </row>
    <row r="77" spans="1:6" ht="12.75">
      <c r="A77" s="220"/>
      <c r="B77" s="220"/>
      <c r="C77" s="220"/>
      <c r="D77" s="220"/>
      <c r="E77" s="220"/>
      <c r="F77" s="220"/>
    </row>
    <row r="78" spans="1:6" ht="12.75">
      <c r="A78" s="223">
        <v>80101</v>
      </c>
      <c r="B78" s="224" t="s">
        <v>1095</v>
      </c>
      <c r="C78" s="225">
        <f>SUM(C79:C83)</f>
        <v>95300</v>
      </c>
      <c r="D78" s="225">
        <f>SUM(D79:D83)</f>
        <v>41445.62</v>
      </c>
      <c r="E78" s="156">
        <f t="shared" si="2"/>
        <v>43.489632738719834</v>
      </c>
      <c r="F78" s="225"/>
    </row>
    <row r="79" spans="1:6" ht="25.5">
      <c r="A79" s="31">
        <v>4210</v>
      </c>
      <c r="B79" s="32" t="s">
        <v>469</v>
      </c>
      <c r="C79" s="69">
        <v>11500</v>
      </c>
      <c r="D79" s="69">
        <v>3594.3</v>
      </c>
      <c r="E79" s="34">
        <f>D79*100/C79</f>
        <v>31.254782608695653</v>
      </c>
      <c r="F79" s="580" t="s">
        <v>1112</v>
      </c>
    </row>
    <row r="80" spans="1:6" ht="12.75">
      <c r="A80" s="31">
        <v>4220</v>
      </c>
      <c r="B80" s="32" t="s">
        <v>1108</v>
      </c>
      <c r="C80" s="69">
        <v>60000</v>
      </c>
      <c r="D80" s="69">
        <v>36680.79</v>
      </c>
      <c r="E80" s="34">
        <f>D80*100/C80</f>
        <v>61.13465</v>
      </c>
      <c r="F80" s="637"/>
    </row>
    <row r="81" spans="1:6" ht="25.5">
      <c r="A81" s="31">
        <v>4240</v>
      </c>
      <c r="B81" s="32" t="s">
        <v>536</v>
      </c>
      <c r="C81" s="69">
        <v>300</v>
      </c>
      <c r="D81" s="69">
        <v>70</v>
      </c>
      <c r="E81" s="34">
        <f>D81*100/C81</f>
        <v>23.333333333333332</v>
      </c>
      <c r="F81" s="637"/>
    </row>
    <row r="82" spans="1:6" ht="12.75">
      <c r="A82" s="30">
        <v>4270</v>
      </c>
      <c r="B82" s="32" t="s">
        <v>470</v>
      </c>
      <c r="C82" s="69">
        <v>15000</v>
      </c>
      <c r="D82" s="69">
        <v>0</v>
      </c>
      <c r="E82" s="34">
        <f>D82*100/C82</f>
        <v>0</v>
      </c>
      <c r="F82" s="637"/>
    </row>
    <row r="83" spans="1:6" ht="13.5" thickBot="1">
      <c r="A83" s="31">
        <v>4300</v>
      </c>
      <c r="B83" s="32" t="s">
        <v>471</v>
      </c>
      <c r="C83" s="69">
        <v>8500</v>
      </c>
      <c r="D83" s="69">
        <v>1100.53</v>
      </c>
      <c r="E83" s="34">
        <f>D83*100/C83</f>
        <v>12.947411764705882</v>
      </c>
      <c r="F83" s="581"/>
    </row>
    <row r="84" spans="1:6" ht="12.75">
      <c r="A84" s="220"/>
      <c r="B84" s="220"/>
      <c r="C84" s="220"/>
      <c r="D84" s="220"/>
      <c r="E84" s="220"/>
      <c r="F84" s="388"/>
    </row>
    <row r="85" spans="1:6" ht="12.75">
      <c r="A85" s="639" t="s">
        <v>1029</v>
      </c>
      <c r="B85" s="640"/>
      <c r="C85" s="19">
        <v>20000</v>
      </c>
      <c r="D85" s="19">
        <v>19619.18</v>
      </c>
      <c r="E85" s="325"/>
      <c r="F85" s="389"/>
    </row>
    <row r="86" spans="1:6" ht="12.75">
      <c r="A86" s="641" t="s">
        <v>2</v>
      </c>
      <c r="B86" s="642"/>
      <c r="C86" s="225">
        <f>C71</f>
        <v>95300</v>
      </c>
      <c r="D86" s="225">
        <f>D71</f>
        <v>49548.78999999999</v>
      </c>
      <c r="E86" s="225">
        <f>D86*100/C86</f>
        <v>51.99243441762853</v>
      </c>
      <c r="F86" s="389"/>
    </row>
    <row r="87" spans="1:6" ht="12.75">
      <c r="A87" s="641" t="s">
        <v>1109</v>
      </c>
      <c r="B87" s="642"/>
      <c r="C87" s="225">
        <f>C78</f>
        <v>95300</v>
      </c>
      <c r="D87" s="225">
        <f>D78</f>
        <v>41445.62</v>
      </c>
      <c r="E87" s="225">
        <f>D87*100/C87</f>
        <v>43.489632738719834</v>
      </c>
      <c r="F87" s="390"/>
    </row>
  </sheetData>
  <mergeCells count="38">
    <mergeCell ref="A3:F3"/>
    <mergeCell ref="A32:B32"/>
    <mergeCell ref="A31:B31"/>
    <mergeCell ref="A5:A6"/>
    <mergeCell ref="B5:B6"/>
    <mergeCell ref="C5:C6"/>
    <mergeCell ref="D5:D6"/>
    <mergeCell ref="E5:E6"/>
    <mergeCell ref="F5:F6"/>
    <mergeCell ref="F9:F11"/>
    <mergeCell ref="F14:F17"/>
    <mergeCell ref="F20:F23"/>
    <mergeCell ref="F26:F28"/>
    <mergeCell ref="A33:B33"/>
    <mergeCell ref="E35:E36"/>
    <mergeCell ref="F35:F36"/>
    <mergeCell ref="F45:F47"/>
    <mergeCell ref="A37:F37"/>
    <mergeCell ref="F40:F42"/>
    <mergeCell ref="A35:A36"/>
    <mergeCell ref="B35:B36"/>
    <mergeCell ref="C35:C36"/>
    <mergeCell ref="D35:D36"/>
    <mergeCell ref="A52:F52"/>
    <mergeCell ref="A69:F69"/>
    <mergeCell ref="A51:B51"/>
    <mergeCell ref="A49:B49"/>
    <mergeCell ref="A50:B50"/>
    <mergeCell ref="F55:F57"/>
    <mergeCell ref="A67:B67"/>
    <mergeCell ref="A68:B68"/>
    <mergeCell ref="F60:F63"/>
    <mergeCell ref="A66:B66"/>
    <mergeCell ref="A85:B85"/>
    <mergeCell ref="A86:B86"/>
    <mergeCell ref="A87:B87"/>
    <mergeCell ref="F72:F76"/>
    <mergeCell ref="F79:F83"/>
  </mergeCells>
  <printOptions horizontalCentered="1"/>
  <pageMargins left="0.15748031496062992" right="0.15748031496062992" top="0.13" bottom="0.4724409448818898" header="0.13" footer="0.472440944881889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64"/>
  <sheetViews>
    <sheetView zoomScale="150" zoomScaleNormal="150" workbookViewId="0" topLeftCell="C31">
      <selection activeCell="C1" sqref="A1:L134"/>
    </sheetView>
  </sheetViews>
  <sheetFormatPr defaultColWidth="9.140625" defaultRowHeight="12.75"/>
  <cols>
    <col min="1" max="1" width="26.140625" style="269" customWidth="1"/>
    <col min="2" max="2" width="9.140625" style="457" customWidth="1"/>
    <col min="3" max="3" width="10.421875" style="457" customWidth="1"/>
    <col min="4" max="4" width="13.140625" style="457" customWidth="1"/>
    <col min="5" max="5" width="9.140625" style="457" customWidth="1"/>
    <col min="6" max="6" width="17.421875" style="457" customWidth="1"/>
    <col min="7" max="7" width="12.8515625" style="457" customWidth="1"/>
    <col min="8" max="10" width="9.140625" style="457" customWidth="1"/>
    <col min="11" max="11" width="13.421875" style="457" customWidth="1"/>
    <col min="12" max="12" width="9.140625" style="457" customWidth="1"/>
    <col min="13" max="13" width="23.28125" style="457" customWidth="1"/>
    <col min="14" max="16384" width="9.140625" style="457" customWidth="1"/>
  </cols>
  <sheetData>
    <row r="1" spans="1:12" ht="18.75" customHeight="1">
      <c r="A1" s="458"/>
      <c r="K1" s="652" t="s">
        <v>761</v>
      </c>
      <c r="L1" s="652"/>
    </row>
    <row r="2" spans="1:12" s="504" customFormat="1" ht="18.75">
      <c r="A2" s="653" t="s">
        <v>1019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1:12" s="504" customFormat="1" ht="18.75">
      <c r="A3" s="653" t="s">
        <v>1020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</row>
    <row r="4" spans="1:12" s="504" customFormat="1" ht="18.75">
      <c r="A4" s="653" t="s">
        <v>1021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</row>
    <row r="5" spans="1:12" s="504" customFormat="1" ht="18.75">
      <c r="A5" s="653" t="s">
        <v>796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</row>
    <row r="6" ht="15.75">
      <c r="A6" s="501"/>
    </row>
    <row r="7" spans="1:12" s="235" customFormat="1" ht="35.25" customHeight="1">
      <c r="A7" s="576" t="s">
        <v>762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</row>
    <row r="8" spans="1:12" s="235" customFormat="1" ht="64.5" customHeight="1">
      <c r="A8" s="577" t="s">
        <v>763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</row>
    <row r="9" s="235" customFormat="1" ht="15.75">
      <c r="A9" s="235" t="s">
        <v>764</v>
      </c>
    </row>
    <row r="10" spans="1:12" s="235" customFormat="1" ht="15.75">
      <c r="A10" s="577" t="s">
        <v>765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</row>
    <row r="11" spans="1:12" s="235" customFormat="1" ht="15.75">
      <c r="A11" s="577" t="s">
        <v>805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</row>
    <row r="12" spans="1:12" s="235" customFormat="1" ht="15.75">
      <c r="A12" s="577" t="s">
        <v>806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</row>
    <row r="13" spans="1:12" s="235" customFormat="1" ht="15.75">
      <c r="A13" s="577" t="s">
        <v>807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</row>
    <row r="14" spans="1:12" s="235" customFormat="1" ht="15.75">
      <c r="A14" s="577" t="s">
        <v>808</v>
      </c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</row>
    <row r="15" spans="1:12" s="235" customFormat="1" ht="15.75">
      <c r="A15" s="577" t="s">
        <v>809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</row>
    <row r="16" s="235" customFormat="1" ht="15.75">
      <c r="A16" s="235" t="s">
        <v>766</v>
      </c>
    </row>
    <row r="17" spans="1:12" s="235" customFormat="1" ht="33.75" customHeight="1">
      <c r="A17" s="577" t="s">
        <v>797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</row>
    <row r="18" spans="1:12" s="235" customFormat="1" ht="15.75">
      <c r="A18" s="577" t="s">
        <v>767</v>
      </c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</row>
    <row r="19" spans="1:12" s="235" customFormat="1" ht="15.75">
      <c r="A19" s="577" t="s">
        <v>798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</row>
    <row r="20" s="235" customFormat="1" ht="15.75">
      <c r="A20" s="503"/>
    </row>
    <row r="21" spans="1:12" s="502" customFormat="1" ht="18.75">
      <c r="A21" s="593" t="s">
        <v>1022</v>
      </c>
      <c r="B21" s="593"/>
      <c r="C21" s="593"/>
      <c r="D21" s="593"/>
      <c r="E21" s="593"/>
      <c r="F21" s="593"/>
      <c r="G21" s="593"/>
      <c r="H21" s="593"/>
      <c r="I21" s="593"/>
      <c r="J21" s="593"/>
      <c r="K21" s="593"/>
      <c r="L21" s="593"/>
    </row>
    <row r="22" s="235" customFormat="1" ht="16.5" customHeight="1">
      <c r="A22" s="258"/>
    </row>
    <row r="23" spans="1:12" s="235" customFormat="1" ht="15.75">
      <c r="A23" s="625" t="s">
        <v>799</v>
      </c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</row>
    <row r="24" spans="1:12" s="235" customFormat="1" ht="15.75">
      <c r="A24" s="625" t="s">
        <v>768</v>
      </c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5"/>
    </row>
    <row r="25" s="235" customFormat="1" ht="15.75"/>
    <row r="26" spans="1:12" s="235" customFormat="1" ht="15.75">
      <c r="A26" s="577" t="s">
        <v>675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</row>
    <row r="27" s="235" customFormat="1" ht="15.75"/>
    <row r="28" spans="1:4" s="235" customFormat="1" ht="15.75">
      <c r="A28" s="441" t="s">
        <v>1026</v>
      </c>
      <c r="B28" s="441" t="s">
        <v>801</v>
      </c>
      <c r="D28" s="441" t="s">
        <v>769</v>
      </c>
    </row>
    <row r="29" spans="1:6" s="235" customFormat="1" ht="15.75">
      <c r="A29" s="654" t="s">
        <v>800</v>
      </c>
      <c r="B29" s="654"/>
      <c r="C29" s="441"/>
      <c r="D29" s="625" t="s">
        <v>770</v>
      </c>
      <c r="E29" s="625"/>
      <c r="F29" s="441"/>
    </row>
    <row r="30" s="235" customFormat="1" ht="15.75">
      <c r="A30" s="258"/>
    </row>
    <row r="31" spans="1:12" s="235" customFormat="1" ht="36" customHeight="1">
      <c r="A31" s="577" t="s">
        <v>771</v>
      </c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</row>
    <row r="32" s="235" customFormat="1" ht="15.75">
      <c r="A32" s="258"/>
    </row>
    <row r="33" spans="1:12" s="235" customFormat="1" ht="15.75">
      <c r="A33" s="625" t="s">
        <v>802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</row>
    <row r="34" spans="1:12" s="235" customFormat="1" ht="15.75">
      <c r="A34" s="625" t="s">
        <v>772</v>
      </c>
      <c r="B34" s="625"/>
      <c r="C34" s="625"/>
      <c r="D34" s="625"/>
      <c r="E34" s="625"/>
      <c r="F34" s="625"/>
      <c r="G34" s="625"/>
      <c r="H34" s="625"/>
      <c r="I34" s="625"/>
      <c r="J34" s="625"/>
      <c r="K34" s="625"/>
      <c r="L34" s="625"/>
    </row>
    <row r="35" s="235" customFormat="1" ht="15.75"/>
    <row r="36" spans="1:12" s="235" customFormat="1" ht="39" customHeight="1">
      <c r="A36" s="577" t="s">
        <v>811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</row>
    <row r="37" s="235" customFormat="1" ht="15.75"/>
    <row r="38" spans="1:12" s="235" customFormat="1" ht="15.75">
      <c r="A38" s="625" t="s">
        <v>773</v>
      </c>
      <c r="B38" s="625"/>
      <c r="C38" s="625"/>
      <c r="D38" s="625"/>
      <c r="E38" s="625"/>
      <c r="F38" s="625"/>
      <c r="G38" s="625"/>
      <c r="H38" s="625"/>
      <c r="I38" s="625"/>
      <c r="J38" s="625"/>
      <c r="K38" s="625"/>
      <c r="L38" s="625"/>
    </row>
    <row r="39" spans="1:12" s="235" customFormat="1" ht="15.75">
      <c r="A39" s="625" t="s">
        <v>774</v>
      </c>
      <c r="B39" s="625"/>
      <c r="C39" s="625"/>
      <c r="D39" s="625"/>
      <c r="E39" s="625"/>
      <c r="F39" s="625"/>
      <c r="G39" s="625"/>
      <c r="H39" s="625"/>
      <c r="I39" s="625"/>
      <c r="J39" s="625"/>
      <c r="K39" s="625"/>
      <c r="L39" s="625"/>
    </row>
    <row r="40" s="235" customFormat="1" ht="15.75"/>
    <row r="41" spans="1:12" s="235" customFormat="1" ht="15.75">
      <c r="A41" s="577" t="s">
        <v>810</v>
      </c>
      <c r="B41" s="577"/>
      <c r="C41" s="577"/>
      <c r="D41" s="577"/>
      <c r="E41" s="577"/>
      <c r="F41" s="577"/>
      <c r="G41" s="577"/>
      <c r="H41" s="577"/>
      <c r="I41" s="577"/>
      <c r="J41" s="577"/>
      <c r="K41" s="577"/>
      <c r="L41" s="577"/>
    </row>
    <row r="42" s="235" customFormat="1" ht="15.75"/>
    <row r="43" spans="1:12" s="235" customFormat="1" ht="15.75">
      <c r="A43" s="625" t="s">
        <v>775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</row>
    <row r="44" spans="1:12" s="235" customFormat="1" ht="15.75">
      <c r="A44" s="625" t="s">
        <v>776</v>
      </c>
      <c r="B44" s="625"/>
      <c r="C44" s="625"/>
      <c r="D44" s="625"/>
      <c r="E44" s="625"/>
      <c r="F44" s="625"/>
      <c r="G44" s="625"/>
      <c r="H44" s="625"/>
      <c r="I44" s="625"/>
      <c r="J44" s="625"/>
      <c r="K44" s="625"/>
      <c r="L44" s="625"/>
    </row>
    <row r="45" s="235" customFormat="1" ht="15.75"/>
    <row r="46" spans="1:12" s="235" customFormat="1" ht="62.25" customHeight="1">
      <c r="A46" s="577" t="s">
        <v>815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</row>
    <row r="47" s="235" customFormat="1" ht="11.25" customHeight="1"/>
    <row r="48" spans="1:4" s="235" customFormat="1" ht="15.75" customHeight="1">
      <c r="A48" s="656" t="s">
        <v>813</v>
      </c>
      <c r="B48" s="656"/>
      <c r="D48" s="441" t="s">
        <v>814</v>
      </c>
    </row>
    <row r="49" spans="1:6" s="235" customFormat="1" ht="15.75">
      <c r="A49" s="655" t="s">
        <v>1027</v>
      </c>
      <c r="B49" s="655"/>
      <c r="D49" s="656" t="s">
        <v>777</v>
      </c>
      <c r="E49" s="656"/>
      <c r="F49" s="441"/>
    </row>
    <row r="50" s="235" customFormat="1" ht="15.75">
      <c r="A50" s="258"/>
    </row>
    <row r="51" spans="1:12" s="235" customFormat="1" ht="35.25" customHeight="1">
      <c r="A51" s="577" t="s">
        <v>85</v>
      </c>
      <c r="B51" s="577"/>
      <c r="C51" s="577"/>
      <c r="D51" s="577"/>
      <c r="E51" s="577"/>
      <c r="F51" s="577"/>
      <c r="G51" s="577"/>
      <c r="H51" s="577"/>
      <c r="I51" s="577"/>
      <c r="J51" s="577"/>
      <c r="K51" s="577"/>
      <c r="L51" s="577"/>
    </row>
    <row r="52" s="235" customFormat="1" ht="15.75"/>
    <row r="53" spans="1:12" s="235" customFormat="1" ht="15.75">
      <c r="A53" s="625" t="s">
        <v>778</v>
      </c>
      <c r="B53" s="625"/>
      <c r="C53" s="625"/>
      <c r="D53" s="625"/>
      <c r="E53" s="625"/>
      <c r="F53" s="625"/>
      <c r="G53" s="625"/>
      <c r="H53" s="625"/>
      <c r="I53" s="625"/>
      <c r="J53" s="625"/>
      <c r="K53" s="625"/>
      <c r="L53" s="625"/>
    </row>
    <row r="54" spans="1:12" s="235" customFormat="1" ht="15.75">
      <c r="A54" s="625" t="s">
        <v>779</v>
      </c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</row>
    <row r="55" s="235" customFormat="1" ht="15.75"/>
    <row r="56" spans="1:12" s="235" customFormat="1" ht="27" customHeight="1">
      <c r="A56" s="577" t="s">
        <v>86</v>
      </c>
      <c r="B56" s="577"/>
      <c r="C56" s="577"/>
      <c r="D56" s="577"/>
      <c r="E56" s="577"/>
      <c r="F56" s="577"/>
      <c r="G56" s="577"/>
      <c r="H56" s="577"/>
      <c r="I56" s="577"/>
      <c r="J56" s="577"/>
      <c r="K56" s="577"/>
      <c r="L56" s="577"/>
    </row>
    <row r="57" spans="1:12" s="235" customFormat="1" ht="29.25" customHeight="1">
      <c r="A57" s="577" t="s">
        <v>780</v>
      </c>
      <c r="B57" s="577"/>
      <c r="C57" s="577"/>
      <c r="D57" s="577"/>
      <c r="E57" s="577"/>
      <c r="F57" s="577"/>
      <c r="G57" s="577"/>
      <c r="H57" s="577"/>
      <c r="I57" s="577"/>
      <c r="J57" s="577"/>
      <c r="K57" s="577"/>
      <c r="L57" s="577"/>
    </row>
    <row r="58" spans="1:12" s="502" customFormat="1" ht="18.75">
      <c r="A58" s="593" t="s">
        <v>87</v>
      </c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</row>
    <row r="59" spans="1:12" s="235" customFormat="1" ht="15.75">
      <c r="A59" s="577" t="s">
        <v>812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</row>
    <row r="60" spans="1:12" s="235" customFormat="1" ht="12.75" customHeight="1">
      <c r="A60" s="577" t="s">
        <v>803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</row>
    <row r="61" s="235" customFormat="1" ht="15.75"/>
    <row r="62" spans="1:12" s="235" customFormat="1" ht="15.75">
      <c r="A62" s="625" t="s">
        <v>781</v>
      </c>
      <c r="B62" s="625"/>
      <c r="C62" s="625"/>
      <c r="D62" s="625"/>
      <c r="E62" s="625"/>
      <c r="F62" s="625"/>
      <c r="G62" s="625"/>
      <c r="H62" s="625"/>
      <c r="I62" s="625"/>
      <c r="J62" s="625"/>
      <c r="K62" s="625"/>
      <c r="L62" s="625"/>
    </row>
    <row r="63" spans="1:12" s="235" customFormat="1" ht="15.75">
      <c r="A63" s="625" t="s">
        <v>782</v>
      </c>
      <c r="B63" s="625"/>
      <c r="C63" s="625"/>
      <c r="D63" s="625"/>
      <c r="E63" s="625"/>
      <c r="F63" s="625"/>
      <c r="G63" s="625"/>
      <c r="H63" s="625"/>
      <c r="I63" s="625"/>
      <c r="J63" s="625"/>
      <c r="K63" s="625"/>
      <c r="L63" s="625"/>
    </row>
    <row r="64" s="235" customFormat="1" ht="15.75"/>
    <row r="65" spans="1:12" s="235" customFormat="1" ht="15.75">
      <c r="A65" s="577" t="s">
        <v>816</v>
      </c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</row>
    <row r="66" spans="1:12" s="235" customFormat="1" ht="15.75">
      <c r="A66" s="577" t="s">
        <v>817</v>
      </c>
      <c r="B66" s="577"/>
      <c r="C66" s="577"/>
      <c r="D66" s="577"/>
      <c r="E66" s="577"/>
      <c r="F66" s="577"/>
      <c r="G66" s="577"/>
      <c r="H66" s="577"/>
      <c r="I66" s="577"/>
      <c r="J66" s="577"/>
      <c r="K66" s="577"/>
      <c r="L66" s="577"/>
    </row>
    <row r="67" spans="1:12" s="235" customFormat="1" ht="15.75">
      <c r="A67" s="577" t="s">
        <v>818</v>
      </c>
      <c r="B67" s="577"/>
      <c r="C67" s="577"/>
      <c r="D67" s="577"/>
      <c r="E67" s="577"/>
      <c r="F67" s="577"/>
      <c r="G67" s="577"/>
      <c r="H67" s="577"/>
      <c r="I67" s="577"/>
      <c r="J67" s="577"/>
      <c r="K67" s="577"/>
      <c r="L67" s="577"/>
    </row>
    <row r="68" spans="1:12" s="235" customFormat="1" ht="15.75">
      <c r="A68" s="577" t="s">
        <v>819</v>
      </c>
      <c r="B68" s="577"/>
      <c r="C68" s="577"/>
      <c r="D68" s="577"/>
      <c r="E68" s="577"/>
      <c r="F68" s="577"/>
      <c r="G68" s="577"/>
      <c r="H68" s="577"/>
      <c r="I68" s="577"/>
      <c r="J68" s="577"/>
      <c r="K68" s="577"/>
      <c r="L68" s="577"/>
    </row>
    <row r="69" spans="1:12" s="235" customFormat="1" ht="37.5" customHeight="1">
      <c r="A69" s="577" t="s">
        <v>820</v>
      </c>
      <c r="B69" s="577"/>
      <c r="C69" s="577"/>
      <c r="D69" s="577"/>
      <c r="E69" s="577"/>
      <c r="F69" s="577"/>
      <c r="G69" s="577"/>
      <c r="H69" s="577"/>
      <c r="I69" s="577"/>
      <c r="J69" s="577"/>
      <c r="K69" s="577"/>
      <c r="L69" s="577"/>
    </row>
    <row r="70" spans="1:12" s="235" customFormat="1" ht="15.75">
      <c r="A70" s="577" t="s">
        <v>821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</row>
    <row r="71" spans="1:12" s="235" customFormat="1" ht="15.75">
      <c r="A71" s="577" t="s">
        <v>822</v>
      </c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</row>
    <row r="72" spans="1:12" s="235" customFormat="1" ht="15.75">
      <c r="A72" s="577" t="s">
        <v>823</v>
      </c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</row>
    <row r="73" spans="1:12" s="235" customFormat="1" ht="15.75">
      <c r="A73" s="577" t="s">
        <v>824</v>
      </c>
      <c r="B73" s="577"/>
      <c r="C73" s="577"/>
      <c r="D73" s="577"/>
      <c r="E73" s="577"/>
      <c r="F73" s="577"/>
      <c r="G73" s="577"/>
      <c r="H73" s="577"/>
      <c r="I73" s="577"/>
      <c r="J73" s="577"/>
      <c r="K73" s="577"/>
      <c r="L73" s="577"/>
    </row>
    <row r="74" s="235" customFormat="1" ht="15.75"/>
    <row r="75" spans="1:12" s="235" customFormat="1" ht="15.75">
      <c r="A75" s="625" t="s">
        <v>783</v>
      </c>
      <c r="B75" s="625"/>
      <c r="C75" s="625"/>
      <c r="D75" s="625"/>
      <c r="E75" s="625"/>
      <c r="F75" s="625"/>
      <c r="G75" s="625"/>
      <c r="H75" s="625"/>
      <c r="I75" s="625"/>
      <c r="J75" s="625"/>
      <c r="K75" s="625"/>
      <c r="L75" s="625"/>
    </row>
    <row r="76" spans="1:12" s="235" customFormat="1" ht="15.75">
      <c r="A76" s="625" t="s">
        <v>784</v>
      </c>
      <c r="B76" s="625"/>
      <c r="C76" s="625"/>
      <c r="D76" s="625"/>
      <c r="E76" s="625"/>
      <c r="F76" s="625"/>
      <c r="G76" s="625"/>
      <c r="H76" s="625"/>
      <c r="I76" s="625"/>
      <c r="J76" s="625"/>
      <c r="K76" s="625"/>
      <c r="L76" s="625"/>
    </row>
    <row r="77" s="235" customFormat="1" ht="15.75">
      <c r="A77" s="258"/>
    </row>
    <row r="78" spans="1:12" s="235" customFormat="1" ht="15.75">
      <c r="A78" s="577" t="s">
        <v>825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</row>
    <row r="79" spans="1:12" s="235" customFormat="1" ht="15.75">
      <c r="A79" s="577" t="s">
        <v>826</v>
      </c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</row>
    <row r="80" spans="1:12" s="235" customFormat="1" ht="15.75">
      <c r="A80" s="577" t="s">
        <v>827</v>
      </c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7"/>
    </row>
    <row r="81" spans="1:12" s="235" customFormat="1" ht="15.75">
      <c r="A81" s="577" t="s">
        <v>828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</row>
    <row r="82" spans="1:12" s="235" customFormat="1" ht="15.75">
      <c r="A82" s="577" t="s">
        <v>829</v>
      </c>
      <c r="B82" s="577"/>
      <c r="C82" s="577"/>
      <c r="D82" s="577"/>
      <c r="E82" s="577"/>
      <c r="F82" s="577"/>
      <c r="G82" s="577"/>
      <c r="H82" s="577"/>
      <c r="I82" s="577"/>
      <c r="J82" s="577"/>
      <c r="K82" s="577"/>
      <c r="L82" s="577"/>
    </row>
    <row r="83" spans="1:12" s="235" customFormat="1" ht="15.75">
      <c r="A83" s="577" t="s">
        <v>830</v>
      </c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</row>
    <row r="84" spans="1:12" s="235" customFormat="1" ht="15.75">
      <c r="A84" s="577" t="s">
        <v>804</v>
      </c>
      <c r="B84" s="577"/>
      <c r="C84" s="577"/>
      <c r="D84" s="577"/>
      <c r="E84" s="577"/>
      <c r="F84" s="577"/>
      <c r="G84" s="577"/>
      <c r="H84" s="577"/>
      <c r="I84" s="577"/>
      <c r="J84" s="577"/>
      <c r="K84" s="577"/>
      <c r="L84" s="577"/>
    </row>
    <row r="85" s="235" customFormat="1" ht="15.75"/>
    <row r="86" spans="1:12" s="235" customFormat="1" ht="15.75">
      <c r="A86" s="625" t="s">
        <v>785</v>
      </c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</row>
    <row r="87" spans="1:12" s="235" customFormat="1" ht="15.75">
      <c r="A87" s="625" t="s">
        <v>786</v>
      </c>
      <c r="B87" s="625"/>
      <c r="C87" s="625"/>
      <c r="D87" s="625"/>
      <c r="E87" s="625"/>
      <c r="F87" s="625"/>
      <c r="G87" s="625"/>
      <c r="H87" s="625"/>
      <c r="I87" s="625"/>
      <c r="J87" s="625"/>
      <c r="K87" s="625"/>
      <c r="L87" s="625"/>
    </row>
    <row r="88" s="235" customFormat="1" ht="15.75"/>
    <row r="89" spans="1:12" s="235" customFormat="1" ht="15.75">
      <c r="A89" s="577" t="s">
        <v>831</v>
      </c>
      <c r="B89" s="577"/>
      <c r="C89" s="577"/>
      <c r="D89" s="577"/>
      <c r="E89" s="577"/>
      <c r="F89" s="577"/>
      <c r="G89" s="577"/>
      <c r="H89" s="577"/>
      <c r="I89" s="577"/>
      <c r="J89" s="577"/>
      <c r="K89" s="577"/>
      <c r="L89" s="577"/>
    </row>
    <row r="90" spans="1:12" s="235" customFormat="1" ht="15.75">
      <c r="A90" s="577" t="s">
        <v>832</v>
      </c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</row>
    <row r="91" spans="1:12" s="235" customFormat="1" ht="39" customHeight="1">
      <c r="A91" s="577" t="s">
        <v>833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/>
      <c r="L91" s="577"/>
    </row>
    <row r="92" spans="1:12" s="235" customFormat="1" ht="15.75">
      <c r="A92" s="577" t="s">
        <v>834</v>
      </c>
      <c r="B92" s="577"/>
      <c r="C92" s="577"/>
      <c r="D92" s="577"/>
      <c r="E92" s="577"/>
      <c r="F92" s="577"/>
      <c r="G92" s="577"/>
      <c r="H92" s="577"/>
      <c r="I92" s="577"/>
      <c r="J92" s="577"/>
      <c r="K92" s="577"/>
      <c r="L92" s="577"/>
    </row>
    <row r="93" spans="1:12" s="235" customFormat="1" ht="15.75">
      <c r="A93" s="577" t="s">
        <v>835</v>
      </c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</row>
    <row r="94" spans="1:12" s="235" customFormat="1" ht="15.75">
      <c r="A94" s="577" t="s">
        <v>836</v>
      </c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</row>
    <row r="95" spans="1:12" s="235" customFormat="1" ht="15.75">
      <c r="A95" s="577" t="s">
        <v>837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  <c r="L95" s="577"/>
    </row>
    <row r="96" spans="1:12" s="235" customFormat="1" ht="15.75">
      <c r="A96" s="577" t="s">
        <v>838</v>
      </c>
      <c r="B96" s="577"/>
      <c r="C96" s="577"/>
      <c r="D96" s="577"/>
      <c r="E96" s="577"/>
      <c r="F96" s="577"/>
      <c r="G96" s="577"/>
      <c r="H96" s="577"/>
      <c r="I96" s="577"/>
      <c r="J96" s="577"/>
      <c r="K96" s="577"/>
      <c r="L96" s="577"/>
    </row>
    <row r="97" spans="1:12" s="235" customFormat="1" ht="15.75">
      <c r="A97" s="577" t="s">
        <v>839</v>
      </c>
      <c r="B97" s="577"/>
      <c r="C97" s="577"/>
      <c r="D97" s="577"/>
      <c r="E97" s="577"/>
      <c r="F97" s="577"/>
      <c r="G97" s="577"/>
      <c r="H97" s="577"/>
      <c r="I97" s="577"/>
      <c r="J97" s="577"/>
      <c r="K97" s="577"/>
      <c r="L97" s="577"/>
    </row>
    <row r="98" s="235" customFormat="1" ht="18" customHeight="1"/>
    <row r="99" spans="1:12" s="235" customFormat="1" ht="15.75">
      <c r="A99" s="625" t="s">
        <v>787</v>
      </c>
      <c r="B99" s="625"/>
      <c r="C99" s="625"/>
      <c r="D99" s="625"/>
      <c r="E99" s="625"/>
      <c r="F99" s="625"/>
      <c r="G99" s="625"/>
      <c r="H99" s="625"/>
      <c r="I99" s="625"/>
      <c r="J99" s="625"/>
      <c r="K99" s="625"/>
      <c r="L99" s="625"/>
    </row>
    <row r="100" spans="1:12" s="235" customFormat="1" ht="15.75">
      <c r="A100" s="625" t="s">
        <v>788</v>
      </c>
      <c r="B100" s="625"/>
      <c r="C100" s="625"/>
      <c r="D100" s="625"/>
      <c r="E100" s="625"/>
      <c r="F100" s="625"/>
      <c r="G100" s="625"/>
      <c r="H100" s="625"/>
      <c r="I100" s="625"/>
      <c r="J100" s="625"/>
      <c r="K100" s="625"/>
      <c r="L100" s="625"/>
    </row>
    <row r="101" s="235" customFormat="1" ht="15.75"/>
    <row r="102" spans="1:12" s="235" customFormat="1" ht="15.75">
      <c r="A102" s="577" t="s">
        <v>840</v>
      </c>
      <c r="B102" s="577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</row>
    <row r="103" spans="1:12" s="235" customFormat="1" ht="15.75">
      <c r="A103" s="577" t="s">
        <v>841</v>
      </c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</row>
    <row r="104" spans="1:12" s="235" customFormat="1" ht="16.5" customHeight="1">
      <c r="A104" s="577" t="s">
        <v>842</v>
      </c>
      <c r="B104" s="577"/>
      <c r="C104" s="577"/>
      <c r="D104" s="577"/>
      <c r="E104" s="577"/>
      <c r="F104" s="577"/>
      <c r="G104" s="577"/>
      <c r="H104" s="577"/>
      <c r="I104" s="577"/>
      <c r="J104" s="577"/>
      <c r="K104" s="577"/>
      <c r="L104" s="577"/>
    </row>
    <row r="105" spans="1:12" s="235" customFormat="1" ht="15.75">
      <c r="A105" s="577" t="s">
        <v>843</v>
      </c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</row>
    <row r="106" spans="1:12" s="235" customFormat="1" ht="15.75">
      <c r="A106" s="577" t="s">
        <v>828</v>
      </c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</row>
    <row r="107" spans="1:12" s="235" customFormat="1" ht="15.75">
      <c r="A107" s="577" t="s">
        <v>836</v>
      </c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</row>
    <row r="108" spans="1:12" s="235" customFormat="1" ht="15.75">
      <c r="A108" s="577" t="s">
        <v>844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</row>
    <row r="109" s="235" customFormat="1" ht="15.75"/>
    <row r="110" spans="1:12" s="235" customFormat="1" ht="15.75">
      <c r="A110" s="625" t="s">
        <v>789</v>
      </c>
      <c r="B110" s="625"/>
      <c r="C110" s="625"/>
      <c r="D110" s="625"/>
      <c r="E110" s="625"/>
      <c r="F110" s="625"/>
      <c r="G110" s="625"/>
      <c r="H110" s="625"/>
      <c r="I110" s="625"/>
      <c r="J110" s="625"/>
      <c r="K110" s="625"/>
      <c r="L110" s="625"/>
    </row>
    <row r="111" spans="1:12" s="235" customFormat="1" ht="15.75">
      <c r="A111" s="625" t="s">
        <v>790</v>
      </c>
      <c r="B111" s="625"/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</row>
    <row r="112" s="235" customFormat="1" ht="15.75">
      <c r="A112" s="258" t="s">
        <v>791</v>
      </c>
    </row>
    <row r="113" spans="1:12" s="235" customFormat="1" ht="15.75">
      <c r="A113" s="577" t="s">
        <v>3</v>
      </c>
      <c r="B113" s="577"/>
      <c r="C113" s="577"/>
      <c r="D113" s="577"/>
      <c r="E113" s="577"/>
      <c r="F113" s="577"/>
      <c r="G113" s="577"/>
      <c r="H113" s="577"/>
      <c r="I113" s="577"/>
      <c r="J113" s="577"/>
      <c r="K113" s="577"/>
      <c r="L113" s="577"/>
    </row>
    <row r="114" spans="1:12" s="235" customFormat="1" ht="39" customHeight="1">
      <c r="A114" s="577" t="s">
        <v>4</v>
      </c>
      <c r="B114" s="577"/>
      <c r="C114" s="577"/>
      <c r="D114" s="577"/>
      <c r="E114" s="577"/>
      <c r="F114" s="577"/>
      <c r="G114" s="577"/>
      <c r="H114" s="577"/>
      <c r="I114" s="577"/>
      <c r="J114" s="577"/>
      <c r="K114" s="577"/>
      <c r="L114" s="577"/>
    </row>
    <row r="115" spans="1:12" s="235" customFormat="1" ht="15.75">
      <c r="A115" s="577" t="s">
        <v>5</v>
      </c>
      <c r="B115" s="577"/>
      <c r="C115" s="577"/>
      <c r="D115" s="577"/>
      <c r="E115" s="577"/>
      <c r="F115" s="577"/>
      <c r="G115" s="577"/>
      <c r="H115" s="577"/>
      <c r="I115" s="577"/>
      <c r="J115" s="577"/>
      <c r="K115" s="577"/>
      <c r="L115" s="577"/>
    </row>
    <row r="116" s="235" customFormat="1" ht="15.75"/>
    <row r="117" spans="1:12" s="235" customFormat="1" ht="15.75">
      <c r="A117" s="625" t="s">
        <v>792</v>
      </c>
      <c r="B117" s="625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</row>
    <row r="118" spans="1:12" s="235" customFormat="1" ht="15.75">
      <c r="A118" s="625" t="s">
        <v>793</v>
      </c>
      <c r="B118" s="625"/>
      <c r="C118" s="625"/>
      <c r="D118" s="625"/>
      <c r="E118" s="625"/>
      <c r="F118" s="625"/>
      <c r="G118" s="625"/>
      <c r="H118" s="625"/>
      <c r="I118" s="625"/>
      <c r="J118" s="625"/>
      <c r="K118" s="625"/>
      <c r="L118" s="625"/>
    </row>
    <row r="119" s="235" customFormat="1" ht="15.75">
      <c r="A119" s="258"/>
    </row>
    <row r="120" spans="1:12" s="235" customFormat="1" ht="15.75">
      <c r="A120" s="577" t="s">
        <v>6</v>
      </c>
      <c r="B120" s="577"/>
      <c r="C120" s="577"/>
      <c r="D120" s="577"/>
      <c r="E120" s="577"/>
      <c r="F120" s="577"/>
      <c r="G120" s="577"/>
      <c r="H120" s="577"/>
      <c r="I120" s="577"/>
      <c r="J120" s="577"/>
      <c r="K120" s="577"/>
      <c r="L120" s="577"/>
    </row>
    <row r="121" spans="1:12" s="235" customFormat="1" ht="15.75">
      <c r="A121" s="577" t="s">
        <v>7</v>
      </c>
      <c r="B121" s="577"/>
      <c r="C121" s="577"/>
      <c r="D121" s="577"/>
      <c r="E121" s="577"/>
      <c r="F121" s="577"/>
      <c r="G121" s="577"/>
      <c r="H121" s="577"/>
      <c r="I121" s="577"/>
      <c r="J121" s="577"/>
      <c r="K121" s="577"/>
      <c r="L121" s="577"/>
    </row>
    <row r="122" spans="1:12" s="235" customFormat="1" ht="15.75">
      <c r="A122" s="577" t="s">
        <v>8</v>
      </c>
      <c r="B122" s="577"/>
      <c r="C122" s="577"/>
      <c r="D122" s="577"/>
      <c r="E122" s="577"/>
      <c r="F122" s="577"/>
      <c r="G122" s="577"/>
      <c r="H122" s="577"/>
      <c r="I122" s="577"/>
      <c r="J122" s="577"/>
      <c r="K122" s="577"/>
      <c r="L122" s="577"/>
    </row>
    <row r="123" spans="1:12" s="235" customFormat="1" ht="15.75">
      <c r="A123" s="577" t="s">
        <v>5</v>
      </c>
      <c r="B123" s="577"/>
      <c r="C123" s="577"/>
      <c r="D123" s="577"/>
      <c r="E123" s="577"/>
      <c r="F123" s="577"/>
      <c r="G123" s="577"/>
      <c r="H123" s="577"/>
      <c r="I123" s="577"/>
      <c r="J123" s="577"/>
      <c r="K123" s="577"/>
      <c r="L123" s="577"/>
    </row>
    <row r="124" s="235" customFormat="1" ht="15.75"/>
    <row r="125" spans="1:12" s="235" customFormat="1" ht="15.75">
      <c r="A125" s="625" t="s">
        <v>794</v>
      </c>
      <c r="B125" s="625"/>
      <c r="C125" s="625"/>
      <c r="D125" s="625"/>
      <c r="E125" s="625"/>
      <c r="F125" s="625"/>
      <c r="G125" s="625"/>
      <c r="H125" s="625"/>
      <c r="I125" s="625"/>
      <c r="J125" s="625"/>
      <c r="K125" s="625"/>
      <c r="L125" s="625"/>
    </row>
    <row r="126" spans="1:12" s="235" customFormat="1" ht="15.75">
      <c r="A126" s="625" t="s">
        <v>795</v>
      </c>
      <c r="B126" s="625"/>
      <c r="C126" s="625"/>
      <c r="D126" s="625"/>
      <c r="E126" s="625"/>
      <c r="F126" s="625"/>
      <c r="G126" s="625"/>
      <c r="H126" s="625"/>
      <c r="I126" s="625"/>
      <c r="J126" s="625"/>
      <c r="K126" s="625"/>
      <c r="L126" s="625"/>
    </row>
    <row r="127" s="235" customFormat="1" ht="15.75"/>
    <row r="128" spans="1:12" s="235" customFormat="1" ht="19.5" customHeight="1">
      <c r="A128" s="577" t="s">
        <v>9</v>
      </c>
      <c r="B128" s="577"/>
      <c r="C128" s="577"/>
      <c r="D128" s="577"/>
      <c r="E128" s="577"/>
      <c r="F128" s="577"/>
      <c r="G128" s="577"/>
      <c r="H128" s="577"/>
      <c r="I128" s="577"/>
      <c r="J128" s="577"/>
      <c r="K128" s="577"/>
      <c r="L128" s="577"/>
    </row>
    <row r="129" spans="1:12" s="235" customFormat="1" ht="15.75">
      <c r="A129" s="577" t="s">
        <v>10</v>
      </c>
      <c r="B129" s="577"/>
      <c r="C129" s="577"/>
      <c r="D129" s="577"/>
      <c r="E129" s="577"/>
      <c r="F129" s="577"/>
      <c r="G129" s="577"/>
      <c r="H129" s="577"/>
      <c r="I129" s="577"/>
      <c r="J129" s="577"/>
      <c r="K129" s="577"/>
      <c r="L129" s="577"/>
    </row>
    <row r="130" spans="1:12" s="235" customFormat="1" ht="41.25" customHeight="1">
      <c r="A130" s="577" t="s">
        <v>11</v>
      </c>
      <c r="B130" s="577"/>
      <c r="C130" s="577"/>
      <c r="D130" s="577"/>
      <c r="E130" s="577"/>
      <c r="F130" s="577"/>
      <c r="G130" s="577"/>
      <c r="H130" s="577"/>
      <c r="I130" s="577"/>
      <c r="J130" s="577"/>
      <c r="K130" s="577"/>
      <c r="L130" s="577"/>
    </row>
    <row r="131" spans="1:12" s="235" customFormat="1" ht="15.75">
      <c r="A131" s="577" t="s">
        <v>12</v>
      </c>
      <c r="B131" s="577"/>
      <c r="C131" s="577"/>
      <c r="D131" s="577"/>
      <c r="E131" s="577"/>
      <c r="F131" s="577"/>
      <c r="G131" s="577"/>
      <c r="H131" s="577"/>
      <c r="I131" s="577"/>
      <c r="J131" s="577"/>
      <c r="K131" s="577"/>
      <c r="L131" s="577"/>
    </row>
    <row r="132" spans="1:12" s="235" customFormat="1" ht="15.75">
      <c r="A132" s="577" t="s">
        <v>13</v>
      </c>
      <c r="B132" s="577"/>
      <c r="C132" s="577"/>
      <c r="D132" s="577"/>
      <c r="E132" s="577"/>
      <c r="F132" s="577"/>
      <c r="G132" s="577"/>
      <c r="H132" s="577"/>
      <c r="I132" s="577"/>
      <c r="J132" s="577"/>
      <c r="K132" s="577"/>
      <c r="L132" s="577"/>
    </row>
    <row r="133" spans="1:12" s="235" customFormat="1" ht="15.75">
      <c r="A133" s="577" t="s">
        <v>823</v>
      </c>
      <c r="B133" s="577"/>
      <c r="C133" s="577"/>
      <c r="D133" s="577"/>
      <c r="E133" s="577"/>
      <c r="F133" s="577"/>
      <c r="G133" s="577"/>
      <c r="H133" s="577"/>
      <c r="I133" s="577"/>
      <c r="J133" s="577"/>
      <c r="K133" s="577"/>
      <c r="L133" s="577"/>
    </row>
    <row r="134" spans="1:12" s="235" customFormat="1" ht="15.75">
      <c r="A134" s="577" t="s">
        <v>14</v>
      </c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</row>
    <row r="135" spans="1:12" s="235" customFormat="1" ht="15.75">
      <c r="A135" s="577" t="s">
        <v>839</v>
      </c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</row>
    <row r="136" s="233" customFormat="1" ht="15.75"/>
    <row r="137" s="233" customFormat="1" ht="15.75"/>
    <row r="138" s="233" customFormat="1" ht="15.75">
      <c r="A138" s="235"/>
    </row>
    <row r="139" s="233" customFormat="1" ht="15.75">
      <c r="A139" s="235"/>
    </row>
    <row r="140" s="233" customFormat="1" ht="15.75">
      <c r="A140" s="235"/>
    </row>
    <row r="141" s="233" customFormat="1" ht="15.75">
      <c r="A141" s="235"/>
    </row>
    <row r="142" s="233" customFormat="1" ht="15.75">
      <c r="A142" s="235"/>
    </row>
    <row r="143" s="233" customFormat="1" ht="15.75">
      <c r="A143" s="235"/>
    </row>
    <row r="144" s="233" customFormat="1" ht="15.75">
      <c r="A144" s="235"/>
    </row>
    <row r="145" s="233" customFormat="1" ht="15.75">
      <c r="A145" s="235"/>
    </row>
    <row r="146" s="233" customFormat="1" ht="15.75">
      <c r="A146" s="235"/>
    </row>
    <row r="147" s="233" customFormat="1" ht="15.75">
      <c r="A147" s="235"/>
    </row>
    <row r="148" s="233" customFormat="1" ht="15.75">
      <c r="A148" s="235"/>
    </row>
    <row r="149" s="233" customFormat="1" ht="15.75">
      <c r="A149" s="235"/>
    </row>
    <row r="150" s="233" customFormat="1" ht="15.75">
      <c r="A150" s="235"/>
    </row>
    <row r="151" s="233" customFormat="1" ht="15.75">
      <c r="A151" s="235"/>
    </row>
    <row r="152" s="233" customFormat="1" ht="15.75">
      <c r="A152" s="235"/>
    </row>
    <row r="153" s="233" customFormat="1" ht="15.75">
      <c r="A153" s="235"/>
    </row>
    <row r="154" s="233" customFormat="1" ht="15.75">
      <c r="A154" s="235"/>
    </row>
    <row r="155" s="233" customFormat="1" ht="15.75">
      <c r="A155" s="235"/>
    </row>
    <row r="156" s="233" customFormat="1" ht="15.75">
      <c r="A156" s="235"/>
    </row>
    <row r="157" s="233" customFormat="1" ht="15.75">
      <c r="A157" s="235"/>
    </row>
    <row r="158" s="233" customFormat="1" ht="15.75">
      <c r="A158" s="235"/>
    </row>
    <row r="159" s="233" customFormat="1" ht="15.75">
      <c r="A159" s="235"/>
    </row>
    <row r="160" s="233" customFormat="1" ht="15.75">
      <c r="A160" s="235"/>
    </row>
    <row r="161" s="233" customFormat="1" ht="15.75">
      <c r="A161" s="235"/>
    </row>
    <row r="162" s="233" customFormat="1" ht="15.75">
      <c r="A162" s="235"/>
    </row>
    <row r="163" s="233" customFormat="1" ht="15.75">
      <c r="A163" s="235"/>
    </row>
    <row r="164" s="233" customFormat="1" ht="15.75">
      <c r="A164" s="235"/>
    </row>
  </sheetData>
  <mergeCells count="104">
    <mergeCell ref="A133:L133"/>
    <mergeCell ref="A134:L134"/>
    <mergeCell ref="A135:L135"/>
    <mergeCell ref="A29:B29"/>
    <mergeCell ref="A49:B49"/>
    <mergeCell ref="D49:E49"/>
    <mergeCell ref="A48:B48"/>
    <mergeCell ref="A129:L129"/>
    <mergeCell ref="A130:L130"/>
    <mergeCell ref="A131:L131"/>
    <mergeCell ref="A132:L132"/>
    <mergeCell ref="A123:L123"/>
    <mergeCell ref="A125:L125"/>
    <mergeCell ref="A126:L126"/>
    <mergeCell ref="A128:L128"/>
    <mergeCell ref="A118:L118"/>
    <mergeCell ref="A120:L120"/>
    <mergeCell ref="A121:L121"/>
    <mergeCell ref="A122:L122"/>
    <mergeCell ref="A113:L113"/>
    <mergeCell ref="A114:L114"/>
    <mergeCell ref="A115:L115"/>
    <mergeCell ref="A117:L117"/>
    <mergeCell ref="A107:L107"/>
    <mergeCell ref="A108:L108"/>
    <mergeCell ref="A110:L110"/>
    <mergeCell ref="A111:L111"/>
    <mergeCell ref="A103:L103"/>
    <mergeCell ref="A104:L104"/>
    <mergeCell ref="A105:L105"/>
    <mergeCell ref="A106:L106"/>
    <mergeCell ref="A97:L97"/>
    <mergeCell ref="A99:L99"/>
    <mergeCell ref="A100:L100"/>
    <mergeCell ref="A102:L102"/>
    <mergeCell ref="A93:L93"/>
    <mergeCell ref="A94:L94"/>
    <mergeCell ref="A95:L95"/>
    <mergeCell ref="A96:L96"/>
    <mergeCell ref="A89:L89"/>
    <mergeCell ref="A90:L90"/>
    <mergeCell ref="A91:L91"/>
    <mergeCell ref="A92:L92"/>
    <mergeCell ref="A83:L83"/>
    <mergeCell ref="A84:L84"/>
    <mergeCell ref="A86:L86"/>
    <mergeCell ref="A87:L87"/>
    <mergeCell ref="A79:L79"/>
    <mergeCell ref="A80:L80"/>
    <mergeCell ref="A81:L81"/>
    <mergeCell ref="A82:L82"/>
    <mergeCell ref="A73:L73"/>
    <mergeCell ref="A75:L75"/>
    <mergeCell ref="A76:L76"/>
    <mergeCell ref="A78:L78"/>
    <mergeCell ref="A69:L69"/>
    <mergeCell ref="A70:L70"/>
    <mergeCell ref="A71:L71"/>
    <mergeCell ref="A72:L72"/>
    <mergeCell ref="A65:L65"/>
    <mergeCell ref="A66:L66"/>
    <mergeCell ref="A67:L67"/>
    <mergeCell ref="A68:L68"/>
    <mergeCell ref="A59:L59"/>
    <mergeCell ref="A60:L60"/>
    <mergeCell ref="A62:L62"/>
    <mergeCell ref="A63:L63"/>
    <mergeCell ref="A54:L54"/>
    <mergeCell ref="A56:L56"/>
    <mergeCell ref="A57:L57"/>
    <mergeCell ref="A58:L58"/>
    <mergeCell ref="A44:L44"/>
    <mergeCell ref="A46:L46"/>
    <mergeCell ref="A51:L51"/>
    <mergeCell ref="A53:L53"/>
    <mergeCell ref="A38:L38"/>
    <mergeCell ref="A39:L39"/>
    <mergeCell ref="A41:L41"/>
    <mergeCell ref="A43:L43"/>
    <mergeCell ref="A7:L7"/>
    <mergeCell ref="A8:L8"/>
    <mergeCell ref="A11:L11"/>
    <mergeCell ref="A12:L12"/>
    <mergeCell ref="A10:L10"/>
    <mergeCell ref="A2:L2"/>
    <mergeCell ref="A3:L3"/>
    <mergeCell ref="A4:L4"/>
    <mergeCell ref="A5:L5"/>
    <mergeCell ref="A21:L21"/>
    <mergeCell ref="A23:L23"/>
    <mergeCell ref="A13:L13"/>
    <mergeCell ref="A14:L14"/>
    <mergeCell ref="A15:L15"/>
    <mergeCell ref="A17:L17"/>
    <mergeCell ref="K1:L1"/>
    <mergeCell ref="A33:L33"/>
    <mergeCell ref="A34:L34"/>
    <mergeCell ref="A36:L36"/>
    <mergeCell ref="A24:L24"/>
    <mergeCell ref="A26:L26"/>
    <mergeCell ref="D29:E29"/>
    <mergeCell ref="A31:L31"/>
    <mergeCell ref="A18:L18"/>
    <mergeCell ref="A19:L19"/>
  </mergeCells>
  <printOptions/>
  <pageMargins left="0.13" right="0.11811023622047245" top="0.36" bottom="0.4724409448818898" header="0.03937007874015748" footer="0.4724409448818898"/>
  <pageSetup fitToHeight="3" fitToWidth="1"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B1:G54"/>
  <sheetViews>
    <sheetView zoomScale="150" zoomScaleNormal="150" workbookViewId="0" topLeftCell="B33">
      <selection activeCell="G17" sqref="G17"/>
    </sheetView>
  </sheetViews>
  <sheetFormatPr defaultColWidth="9.140625" defaultRowHeight="12.75"/>
  <cols>
    <col min="1" max="1" width="9.140625" style="342" customWidth="1"/>
    <col min="2" max="2" width="5.28125" style="391" customWidth="1"/>
    <col min="3" max="3" width="12.57421875" style="342" customWidth="1"/>
    <col min="4" max="4" width="14.421875" style="342" customWidth="1"/>
    <col min="5" max="5" width="11.8515625" style="342" customWidth="1"/>
    <col min="6" max="6" width="16.28125" style="342" customWidth="1"/>
    <col min="7" max="7" width="47.421875" style="342" customWidth="1"/>
    <col min="8" max="16384" width="9.140625" style="342" customWidth="1"/>
  </cols>
  <sheetData>
    <row r="1" ht="12.75">
      <c r="G1" s="393" t="s">
        <v>1096</v>
      </c>
    </row>
    <row r="2" spans="2:7" ht="12.75">
      <c r="B2" s="657" t="s">
        <v>301</v>
      </c>
      <c r="C2" s="657"/>
      <c r="D2" s="657"/>
      <c r="E2" s="657"/>
      <c r="F2" s="657"/>
      <c r="G2" s="657"/>
    </row>
    <row r="4" spans="2:7" s="341" customFormat="1" ht="13.5" customHeight="1">
      <c r="B4" s="660" t="s">
        <v>295</v>
      </c>
      <c r="C4" s="662" t="s">
        <v>1102</v>
      </c>
      <c r="D4" s="663"/>
      <c r="E4" s="662" t="s">
        <v>1103</v>
      </c>
      <c r="F4" s="663"/>
      <c r="G4" s="658" t="s">
        <v>1125</v>
      </c>
    </row>
    <row r="5" spans="2:7" s="341" customFormat="1" ht="20.25" customHeight="1">
      <c r="B5" s="661"/>
      <c r="C5" s="343" t="s">
        <v>1104</v>
      </c>
      <c r="D5" s="343" t="s">
        <v>1105</v>
      </c>
      <c r="E5" s="343" t="s">
        <v>1104</v>
      </c>
      <c r="F5" s="343" t="s">
        <v>1105</v>
      </c>
      <c r="G5" s="659"/>
    </row>
    <row r="6" spans="2:7" s="341" customFormat="1" ht="12.75">
      <c r="B6" s="498" t="s">
        <v>296</v>
      </c>
      <c r="C6" s="664" t="s">
        <v>297</v>
      </c>
      <c r="D6" s="665"/>
      <c r="E6" s="665"/>
      <c r="F6" s="665"/>
      <c r="G6" s="666"/>
    </row>
    <row r="7" spans="2:7" s="247" customFormat="1" ht="14.25" customHeight="1">
      <c r="B7" s="670"/>
      <c r="C7" s="499">
        <f>25175.02-C8</f>
        <v>8267.510000000002</v>
      </c>
      <c r="D7" s="499"/>
      <c r="E7" s="499"/>
      <c r="F7" s="499"/>
      <c r="G7" s="499" t="s">
        <v>730</v>
      </c>
    </row>
    <row r="8" spans="2:7" s="247" customFormat="1" ht="12.75">
      <c r="B8" s="670"/>
      <c r="C8" s="499">
        <v>16907.51</v>
      </c>
      <c r="D8" s="499"/>
      <c r="E8" s="499"/>
      <c r="F8" s="499"/>
      <c r="G8" s="499" t="s">
        <v>731</v>
      </c>
    </row>
    <row r="9" spans="2:7" s="247" customFormat="1" ht="12.75">
      <c r="B9" s="670"/>
      <c r="C9" s="499">
        <v>100</v>
      </c>
      <c r="D9" s="499"/>
      <c r="E9" s="499"/>
      <c r="F9" s="499"/>
      <c r="G9" s="499" t="s">
        <v>733</v>
      </c>
    </row>
    <row r="10" spans="2:7" s="247" customFormat="1" ht="12.75">
      <c r="B10" s="670"/>
      <c r="C10" s="499">
        <v>9499.48</v>
      </c>
      <c r="D10" s="499"/>
      <c r="E10" s="499"/>
      <c r="F10" s="499"/>
      <c r="G10" s="499" t="s">
        <v>732</v>
      </c>
    </row>
    <row r="11" spans="2:7" s="247" customFormat="1" ht="25.5">
      <c r="B11" s="670"/>
      <c r="C11" s="499">
        <v>51.53</v>
      </c>
      <c r="D11" s="499"/>
      <c r="E11" s="499"/>
      <c r="F11" s="499"/>
      <c r="G11" s="499" t="s">
        <v>734</v>
      </c>
    </row>
    <row r="12" spans="2:7" s="247" customFormat="1" ht="30" customHeight="1">
      <c r="B12" s="670"/>
      <c r="C12" s="499">
        <v>4399.82</v>
      </c>
      <c r="D12" s="499"/>
      <c r="E12" s="499"/>
      <c r="F12" s="499"/>
      <c r="G12" s="499" t="s">
        <v>735</v>
      </c>
    </row>
    <row r="13" spans="2:7" s="247" customFormat="1" ht="30" customHeight="1">
      <c r="B13" s="670"/>
      <c r="C13" s="499">
        <v>3573.12</v>
      </c>
      <c r="D13" s="499"/>
      <c r="E13" s="499"/>
      <c r="F13" s="499"/>
      <c r="G13" s="499" t="s">
        <v>736</v>
      </c>
    </row>
    <row r="14" spans="2:7" s="247" customFormat="1" ht="25.5">
      <c r="B14" s="670"/>
      <c r="C14" s="499">
        <v>7787.37</v>
      </c>
      <c r="D14" s="499"/>
      <c r="E14" s="499"/>
      <c r="F14" s="499"/>
      <c r="G14" s="499" t="s">
        <v>737</v>
      </c>
    </row>
    <row r="15" spans="2:7" s="247" customFormat="1" ht="12.75">
      <c r="B15" s="670"/>
      <c r="C15" s="499"/>
      <c r="D15" s="499">
        <v>43.5</v>
      </c>
      <c r="E15" s="499"/>
      <c r="F15" s="499"/>
      <c r="G15" s="499" t="s">
        <v>738</v>
      </c>
    </row>
    <row r="16" spans="2:7" s="247" customFormat="1" ht="25.5">
      <c r="B16" s="670"/>
      <c r="C16" s="499">
        <v>8159.4</v>
      </c>
      <c r="D16" s="499"/>
      <c r="E16" s="499"/>
      <c r="F16" s="499"/>
      <c r="G16" s="499" t="s">
        <v>739</v>
      </c>
    </row>
    <row r="17" spans="2:7" s="247" customFormat="1" ht="16.5" customHeight="1">
      <c r="B17" s="670"/>
      <c r="C17" s="499">
        <f>66790.05+65128.1</f>
        <v>131918.15</v>
      </c>
      <c r="D17" s="499">
        <f>440236.04+892984.05-C17</f>
        <v>1201301.9400000002</v>
      </c>
      <c r="E17" s="499"/>
      <c r="F17" s="499"/>
      <c r="G17" s="499" t="s">
        <v>740</v>
      </c>
    </row>
    <row r="18" spans="2:7" s="247" customFormat="1" ht="12.75">
      <c r="B18" s="670"/>
      <c r="C18" s="499">
        <f>25460.54+17419.17</f>
        <v>42879.71</v>
      </c>
      <c r="D18" s="499">
        <f>167368.94+191272.97-C18</f>
        <v>315762.2</v>
      </c>
      <c r="E18" s="499"/>
      <c r="F18" s="499"/>
      <c r="G18" s="499" t="s">
        <v>741</v>
      </c>
    </row>
    <row r="19" spans="2:7" s="247" customFormat="1" ht="12.75">
      <c r="B19" s="670"/>
      <c r="C19" s="499">
        <f>10.79</f>
        <v>10.79</v>
      </c>
      <c r="D19" s="499">
        <f>15271+700.05</f>
        <v>15971.05</v>
      </c>
      <c r="E19" s="499"/>
      <c r="F19" s="499"/>
      <c r="G19" s="499" t="s">
        <v>742</v>
      </c>
    </row>
    <row r="20" spans="2:7" s="247" customFormat="1" ht="12.75">
      <c r="B20" s="670"/>
      <c r="C20" s="499">
        <f>2005+2405</f>
        <v>4410</v>
      </c>
      <c r="D20" s="499">
        <f>15794+39291-C20</f>
        <v>50675</v>
      </c>
      <c r="E20" s="499"/>
      <c r="F20" s="499"/>
      <c r="G20" s="499" t="s">
        <v>743</v>
      </c>
    </row>
    <row r="21" spans="2:7" s="247" customFormat="1" ht="12.75">
      <c r="B21" s="670"/>
      <c r="C21" s="499">
        <v>7.5</v>
      </c>
      <c r="D21" s="499"/>
      <c r="E21" s="499"/>
      <c r="F21" s="499"/>
      <c r="G21" s="499" t="s">
        <v>744</v>
      </c>
    </row>
    <row r="22" spans="2:7" s="247" customFormat="1" ht="25.5">
      <c r="B22" s="670"/>
      <c r="C22" s="499">
        <v>76.16</v>
      </c>
      <c r="D22" s="499">
        <f>138.16-C22</f>
        <v>62</v>
      </c>
      <c r="E22" s="499"/>
      <c r="F22" s="499"/>
      <c r="G22" s="499" t="s">
        <v>745</v>
      </c>
    </row>
    <row r="23" spans="2:7" s="247" customFormat="1" ht="25.5">
      <c r="B23" s="670"/>
      <c r="C23" s="499">
        <f>4415+10086</f>
        <v>14501</v>
      </c>
      <c r="D23" s="499"/>
      <c r="E23" s="499"/>
      <c r="F23" s="499"/>
      <c r="G23" s="499" t="s">
        <v>746</v>
      </c>
    </row>
    <row r="24" spans="2:7" s="247" customFormat="1" ht="12.75">
      <c r="B24" s="670"/>
      <c r="C24" s="499">
        <v>280113.97</v>
      </c>
      <c r="D24" s="499"/>
      <c r="E24" s="499"/>
      <c r="F24" s="499"/>
      <c r="G24" s="499" t="s">
        <v>747</v>
      </c>
    </row>
    <row r="25" spans="2:7" s="247" customFormat="1" ht="25.5">
      <c r="B25" s="670"/>
      <c r="C25" s="499">
        <v>43606.13</v>
      </c>
      <c r="D25" s="499"/>
      <c r="E25" s="499"/>
      <c r="F25" s="499"/>
      <c r="G25" s="499" t="s">
        <v>748</v>
      </c>
    </row>
    <row r="26" spans="2:7" s="247" customFormat="1" ht="25.5">
      <c r="B26" s="670"/>
      <c r="C26" s="499"/>
      <c r="D26" s="499">
        <v>7488.1</v>
      </c>
      <c r="E26" s="499"/>
      <c r="F26" s="499"/>
      <c r="G26" s="499" t="s">
        <v>749</v>
      </c>
    </row>
    <row r="27" spans="2:7" s="247" customFormat="1" ht="25.5">
      <c r="B27" s="670"/>
      <c r="C27" s="499"/>
      <c r="D27" s="499">
        <v>3985533.12</v>
      </c>
      <c r="E27" s="499"/>
      <c r="F27" s="499"/>
      <c r="G27" s="499" t="s">
        <v>750</v>
      </c>
    </row>
    <row r="28" spans="2:7" s="247" customFormat="1" ht="12.75">
      <c r="B28" s="670"/>
      <c r="C28" s="499"/>
      <c r="D28" s="499"/>
      <c r="E28" s="499"/>
      <c r="F28" s="499">
        <v>42225</v>
      </c>
      <c r="G28" s="499" t="s">
        <v>1114</v>
      </c>
    </row>
    <row r="29" spans="2:7" s="247" customFormat="1" ht="12.75">
      <c r="B29" s="670"/>
      <c r="C29" s="499"/>
      <c r="D29" s="499"/>
      <c r="E29" s="499"/>
      <c r="F29" s="499">
        <v>4554765.76</v>
      </c>
      <c r="G29" s="499" t="s">
        <v>1115</v>
      </c>
    </row>
    <row r="30" spans="2:7" s="247" customFormat="1" ht="18" customHeight="1">
      <c r="B30" s="670"/>
      <c r="C30" s="499"/>
      <c r="D30" s="499"/>
      <c r="E30" s="499"/>
      <c r="F30" s="499">
        <f>27277.4+8930.51+1956.41+191+39+267.38+540.37+177.84</f>
        <v>39379.91</v>
      </c>
      <c r="G30" s="499" t="s">
        <v>1117</v>
      </c>
    </row>
    <row r="31" spans="2:7" s="247" customFormat="1" ht="35.25" customHeight="1" hidden="1">
      <c r="B31" s="670"/>
      <c r="C31" s="499"/>
      <c r="D31" s="499"/>
      <c r="E31" s="499"/>
      <c r="F31" s="499"/>
      <c r="G31" s="499" t="s">
        <v>1118</v>
      </c>
    </row>
    <row r="32" spans="2:7" s="247" customFormat="1" ht="35.25" customHeight="1" hidden="1">
      <c r="B32" s="659"/>
      <c r="C32" s="499"/>
      <c r="D32" s="499"/>
      <c r="E32" s="499"/>
      <c r="F32" s="499"/>
      <c r="G32" s="499" t="s">
        <v>1116</v>
      </c>
    </row>
    <row r="33" spans="2:7" s="247" customFormat="1" ht="12.75">
      <c r="B33" s="498" t="s">
        <v>298</v>
      </c>
      <c r="C33" s="664" t="s">
        <v>299</v>
      </c>
      <c r="D33" s="665"/>
      <c r="E33" s="665"/>
      <c r="F33" s="665"/>
      <c r="G33" s="666"/>
    </row>
    <row r="34" spans="2:7" s="247" customFormat="1" ht="12.75">
      <c r="B34" s="658"/>
      <c r="C34" s="499"/>
      <c r="D34" s="499"/>
      <c r="E34" s="499"/>
      <c r="F34" s="499">
        <f>1590.37+76.01+705.16+1297.7+293.71+1159</f>
        <v>5121.95</v>
      </c>
      <c r="G34" s="499" t="s">
        <v>1116</v>
      </c>
    </row>
    <row r="35" spans="2:7" s="247" customFormat="1" ht="19.5" customHeight="1">
      <c r="B35" s="659"/>
      <c r="C35" s="499"/>
      <c r="D35" s="499"/>
      <c r="E35" s="499"/>
      <c r="F35" s="499">
        <f>2496.9+43179.56+21526.92+3398.07+224.57+3775.64+2124.17+311.33+484.82+9863.39+4058.1+788.38+2009.08+21408.47+10237.58+1720.15+599.79+360.45+50.93+3155.31+450.96+218.63</f>
        <v>132443.2</v>
      </c>
      <c r="G35" s="499" t="s">
        <v>1117</v>
      </c>
    </row>
    <row r="36" spans="2:7" s="247" customFormat="1" ht="12.75">
      <c r="B36" s="498" t="s">
        <v>300</v>
      </c>
      <c r="C36" s="664" t="s">
        <v>1120</v>
      </c>
      <c r="D36" s="665"/>
      <c r="E36" s="665"/>
      <c r="F36" s="665"/>
      <c r="G36" s="666"/>
    </row>
    <row r="37" spans="2:7" s="247" customFormat="1" ht="20.25" customHeight="1">
      <c r="B37" s="23"/>
      <c r="C37" s="499"/>
      <c r="D37" s="499"/>
      <c r="E37" s="499"/>
      <c r="F37" s="499">
        <v>11599.18</v>
      </c>
      <c r="G37" s="499" t="s">
        <v>1117</v>
      </c>
    </row>
    <row r="38" spans="2:7" s="247" customFormat="1" ht="12.75">
      <c r="B38" s="498" t="s">
        <v>1119</v>
      </c>
      <c r="C38" s="664" t="s">
        <v>306</v>
      </c>
      <c r="D38" s="665"/>
      <c r="E38" s="665"/>
      <c r="F38" s="665"/>
      <c r="G38" s="666"/>
    </row>
    <row r="39" spans="2:7" s="247" customFormat="1" ht="12.75">
      <c r="B39" s="658"/>
      <c r="C39" s="499">
        <v>140462.68</v>
      </c>
      <c r="D39" s="499">
        <f>142185.77-C39</f>
        <v>1723.0899999999965</v>
      </c>
      <c r="E39" s="499"/>
      <c r="F39" s="499"/>
      <c r="G39" s="499" t="s">
        <v>1113</v>
      </c>
    </row>
    <row r="40" spans="2:7" s="247" customFormat="1" ht="12.75">
      <c r="B40" s="670"/>
      <c r="C40" s="499"/>
      <c r="D40" s="499">
        <v>30926.91</v>
      </c>
      <c r="E40" s="499"/>
      <c r="F40" s="499"/>
      <c r="G40" s="499" t="s">
        <v>751</v>
      </c>
    </row>
    <row r="41" spans="2:7" s="247" customFormat="1" ht="12.75">
      <c r="B41" s="670"/>
      <c r="C41" s="499"/>
      <c r="D41" s="499"/>
      <c r="E41" s="499">
        <v>32782.84</v>
      </c>
      <c r="F41" s="499">
        <f>67134.85-E41</f>
        <v>34352.01000000001</v>
      </c>
      <c r="G41" s="499" t="s">
        <v>1116</v>
      </c>
    </row>
    <row r="42" spans="2:7" s="247" customFormat="1" ht="20.25" customHeight="1">
      <c r="B42" s="659"/>
      <c r="C42" s="499"/>
      <c r="D42" s="499"/>
      <c r="E42" s="499"/>
      <c r="F42" s="499">
        <f>26446.01+5948</f>
        <v>32394.01</v>
      </c>
      <c r="G42" s="499" t="s">
        <v>1117</v>
      </c>
    </row>
    <row r="43" spans="2:7" s="247" customFormat="1" ht="12.75">
      <c r="B43" s="497"/>
      <c r="C43" s="499"/>
      <c r="D43" s="499"/>
      <c r="E43" s="499"/>
      <c r="F43" s="499">
        <f>16485.01-5948</f>
        <v>10537.009999999998</v>
      </c>
      <c r="G43" s="499" t="s">
        <v>752</v>
      </c>
    </row>
    <row r="44" spans="2:7" s="247" customFormat="1" ht="12.75" hidden="1">
      <c r="B44" s="498" t="s">
        <v>1121</v>
      </c>
      <c r="C44" s="667" t="s">
        <v>305</v>
      </c>
      <c r="D44" s="668"/>
      <c r="E44" s="668"/>
      <c r="F44" s="668"/>
      <c r="G44" s="669"/>
    </row>
    <row r="45" spans="2:7" s="247" customFormat="1" ht="36.75" customHeight="1" hidden="1">
      <c r="B45" s="658"/>
      <c r="C45" s="499"/>
      <c r="D45" s="499"/>
      <c r="E45" s="499"/>
      <c r="F45" s="499"/>
      <c r="G45" s="499" t="s">
        <v>1113</v>
      </c>
    </row>
    <row r="46" spans="2:7" s="247" customFormat="1" ht="37.5" customHeight="1" hidden="1">
      <c r="B46" s="659"/>
      <c r="C46" s="499"/>
      <c r="D46" s="499"/>
      <c r="E46" s="499"/>
      <c r="F46" s="499"/>
      <c r="G46" s="499" t="s">
        <v>1116</v>
      </c>
    </row>
    <row r="47" spans="2:7" s="247" customFormat="1" ht="12.75">
      <c r="B47" s="498" t="s">
        <v>1121</v>
      </c>
      <c r="C47" s="664" t="s">
        <v>1123</v>
      </c>
      <c r="D47" s="665"/>
      <c r="E47" s="665"/>
      <c r="F47" s="665"/>
      <c r="G47" s="666"/>
    </row>
    <row r="48" spans="2:7" s="247" customFormat="1" ht="12.75">
      <c r="B48" s="658"/>
      <c r="C48" s="499"/>
      <c r="D48" s="499"/>
      <c r="E48" s="499"/>
      <c r="F48" s="499">
        <v>5049.7</v>
      </c>
      <c r="G48" s="499" t="s">
        <v>753</v>
      </c>
    </row>
    <row r="49" spans="2:7" s="247" customFormat="1" ht="12.75">
      <c r="B49" s="659"/>
      <c r="C49" s="499"/>
      <c r="D49" s="499"/>
      <c r="E49" s="499"/>
      <c r="F49" s="499">
        <v>786</v>
      </c>
      <c r="G49" s="499" t="s">
        <v>754</v>
      </c>
    </row>
    <row r="50" spans="2:7" s="247" customFormat="1" ht="12.75">
      <c r="B50" s="498" t="s">
        <v>1122</v>
      </c>
      <c r="C50" s="664" t="s">
        <v>1124</v>
      </c>
      <c r="D50" s="665"/>
      <c r="E50" s="665"/>
      <c r="F50" s="665"/>
      <c r="G50" s="666"/>
    </row>
    <row r="51" spans="2:7" s="247" customFormat="1" ht="12.75">
      <c r="B51" s="658"/>
      <c r="C51" s="499"/>
      <c r="D51" s="499"/>
      <c r="E51" s="499"/>
      <c r="F51" s="499">
        <v>4370.35</v>
      </c>
      <c r="G51" s="499" t="s">
        <v>1117</v>
      </c>
    </row>
    <row r="52" spans="2:7" s="247" customFormat="1" ht="25.5">
      <c r="B52" s="670"/>
      <c r="C52" s="499"/>
      <c r="D52" s="499"/>
      <c r="E52" s="499"/>
      <c r="F52" s="499">
        <v>3.5</v>
      </c>
      <c r="G52" s="499" t="s">
        <v>755</v>
      </c>
    </row>
    <row r="53" spans="2:7" s="247" customFormat="1" ht="12.75">
      <c r="B53" s="659"/>
      <c r="C53" s="499"/>
      <c r="D53" s="499"/>
      <c r="E53" s="499"/>
      <c r="F53" s="499">
        <v>0.8</v>
      </c>
      <c r="G53" s="499" t="s">
        <v>1116</v>
      </c>
    </row>
    <row r="54" spans="2:7" s="247" customFormat="1" ht="12.75">
      <c r="B54" s="664"/>
      <c r="C54" s="665"/>
      <c r="D54" s="665"/>
      <c r="E54" s="665"/>
      <c r="F54" s="665"/>
      <c r="G54" s="666"/>
    </row>
  </sheetData>
  <mergeCells count="19">
    <mergeCell ref="B7:B32"/>
    <mergeCell ref="B34:B35"/>
    <mergeCell ref="B39:B42"/>
    <mergeCell ref="B45:B46"/>
    <mergeCell ref="B54:G54"/>
    <mergeCell ref="C47:G47"/>
    <mergeCell ref="C50:G50"/>
    <mergeCell ref="C44:G44"/>
    <mergeCell ref="B51:B53"/>
    <mergeCell ref="B48:B49"/>
    <mergeCell ref="C6:G6"/>
    <mergeCell ref="C33:G33"/>
    <mergeCell ref="C36:G36"/>
    <mergeCell ref="C38:G38"/>
    <mergeCell ref="B2:G2"/>
    <mergeCell ref="G4:G5"/>
    <mergeCell ref="B4:B5"/>
    <mergeCell ref="C4:D4"/>
    <mergeCell ref="E4:F4"/>
  </mergeCells>
  <printOptions horizontalCentered="1"/>
  <pageMargins left="0.11811023622047245" right="0.11811023622047245" top="0.21" bottom="0.4724409448818898" header="0.21" footer="0.4724409448818898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A1:F105"/>
  <sheetViews>
    <sheetView zoomScale="150" zoomScaleNormal="150" workbookViewId="0" topLeftCell="A34">
      <selection activeCell="A2" sqref="A2"/>
    </sheetView>
  </sheetViews>
  <sheetFormatPr defaultColWidth="9.140625" defaultRowHeight="12.75"/>
  <cols>
    <col min="1" max="1" width="28.8515625" style="457" customWidth="1"/>
    <col min="2" max="2" width="14.00390625" style="457" customWidth="1"/>
    <col min="3" max="3" width="0.13671875" style="457" hidden="1" customWidth="1"/>
    <col min="4" max="4" width="14.421875" style="457" customWidth="1"/>
    <col min="5" max="5" width="15.28125" style="457" customWidth="1"/>
    <col min="6" max="6" width="63.8515625" style="457" customWidth="1"/>
    <col min="7" max="16384" width="9.140625" style="457" customWidth="1"/>
  </cols>
  <sheetData>
    <row r="1" ht="15.75">
      <c r="F1" s="458" t="s">
        <v>302</v>
      </c>
    </row>
    <row r="2" spans="1:6" ht="22.5" customHeight="1">
      <c r="A2" s="249" t="s">
        <v>725</v>
      </c>
      <c r="B2" s="249"/>
      <c r="C2" s="249"/>
      <c r="D2" s="249"/>
      <c r="E2" s="249"/>
      <c r="F2" s="249"/>
    </row>
    <row r="3" spans="1:6" ht="63.75" customHeight="1">
      <c r="A3" s="459" t="s">
        <v>99</v>
      </c>
      <c r="B3" s="392" t="s">
        <v>710</v>
      </c>
      <c r="C3" s="392" t="s">
        <v>134</v>
      </c>
      <c r="D3" s="392" t="s">
        <v>711</v>
      </c>
      <c r="E3" s="392" t="s">
        <v>724</v>
      </c>
      <c r="F3" s="459" t="s">
        <v>728</v>
      </c>
    </row>
    <row r="4" spans="1:6" ht="15.75">
      <c r="A4" s="460" t="s">
        <v>135</v>
      </c>
      <c r="B4" s="461">
        <f>B5+B6+B7+B8</f>
        <v>19000</v>
      </c>
      <c r="C4" s="461"/>
      <c r="D4" s="461">
        <f>D5+D6+D7+D8</f>
        <v>6295.43</v>
      </c>
      <c r="E4" s="462">
        <f aca="true" t="shared" si="0" ref="E4:E29">D4/B4</f>
        <v>0.3313384210526316</v>
      </c>
      <c r="F4" s="463"/>
    </row>
    <row r="5" spans="1:6" ht="15.75">
      <c r="A5" s="464" t="s">
        <v>551</v>
      </c>
      <c r="B5" s="465">
        <v>1300</v>
      </c>
      <c r="C5" s="465"/>
      <c r="D5" s="465">
        <v>107.96</v>
      </c>
      <c r="E5" s="466">
        <f t="shared" si="0"/>
        <v>0.08304615384615384</v>
      </c>
      <c r="F5" s="464" t="s">
        <v>106</v>
      </c>
    </row>
    <row r="6" spans="1:6" ht="31.5">
      <c r="A6" s="464" t="s">
        <v>552</v>
      </c>
      <c r="B6" s="465">
        <v>6000</v>
      </c>
      <c r="C6" s="465"/>
      <c r="D6" s="465">
        <v>2320.76</v>
      </c>
      <c r="E6" s="466">
        <f t="shared" si="0"/>
        <v>0.3867933333333334</v>
      </c>
      <c r="F6" s="464" t="s">
        <v>712</v>
      </c>
    </row>
    <row r="7" spans="1:6" ht="31.5">
      <c r="A7" s="464" t="s">
        <v>550</v>
      </c>
      <c r="B7" s="465">
        <v>7000</v>
      </c>
      <c r="C7" s="465"/>
      <c r="D7" s="465">
        <v>1176.39</v>
      </c>
      <c r="E7" s="466">
        <f t="shared" si="0"/>
        <v>0.1680557142857143</v>
      </c>
      <c r="F7" s="464" t="s">
        <v>1065</v>
      </c>
    </row>
    <row r="8" spans="1:6" ht="31.5">
      <c r="A8" s="464" t="s">
        <v>1066</v>
      </c>
      <c r="B8" s="465">
        <f>500+1200+500+2500</f>
        <v>4700</v>
      </c>
      <c r="C8" s="465"/>
      <c r="D8" s="465">
        <f>287.35+311+1286.29+805.68</f>
        <v>2690.3199999999997</v>
      </c>
      <c r="E8" s="466">
        <f t="shared" si="0"/>
        <v>0.5724085106382978</v>
      </c>
      <c r="F8" s="464" t="s">
        <v>713</v>
      </c>
    </row>
    <row r="9" spans="1:6" ht="15.75">
      <c r="A9" s="467" t="s">
        <v>1067</v>
      </c>
      <c r="B9" s="461">
        <v>15000</v>
      </c>
      <c r="C9" s="461"/>
      <c r="D9" s="461">
        <v>9029.17</v>
      </c>
      <c r="E9" s="462">
        <f t="shared" si="0"/>
        <v>0.6019446666666667</v>
      </c>
      <c r="F9" s="463" t="s">
        <v>714</v>
      </c>
    </row>
    <row r="10" spans="1:6" ht="15.75">
      <c r="A10" s="467" t="s">
        <v>1068</v>
      </c>
      <c r="B10" s="461">
        <v>17000</v>
      </c>
      <c r="C10" s="461"/>
      <c r="D10" s="461">
        <f>D11+D12</f>
        <v>9179.28</v>
      </c>
      <c r="E10" s="462">
        <f t="shared" si="0"/>
        <v>0.5399576470588235</v>
      </c>
      <c r="F10" s="463"/>
    </row>
    <row r="11" spans="1:6" ht="31.5">
      <c r="A11" s="468" t="s">
        <v>715</v>
      </c>
      <c r="B11" s="465">
        <v>5500</v>
      </c>
      <c r="C11" s="465"/>
      <c r="D11" s="465">
        <v>2758.43</v>
      </c>
      <c r="E11" s="466">
        <f t="shared" si="0"/>
        <v>0.5015327272727272</v>
      </c>
      <c r="F11" s="464" t="s">
        <v>1069</v>
      </c>
    </row>
    <row r="12" spans="1:6" ht="31.5">
      <c r="A12" s="468" t="s">
        <v>1070</v>
      </c>
      <c r="B12" s="465">
        <v>11500</v>
      </c>
      <c r="C12" s="465"/>
      <c r="D12" s="465">
        <v>6420.85</v>
      </c>
      <c r="E12" s="466">
        <f t="shared" si="0"/>
        <v>0.5583347826086957</v>
      </c>
      <c r="F12" s="464" t="s">
        <v>1071</v>
      </c>
    </row>
    <row r="13" spans="1:6" ht="15.75">
      <c r="A13" s="467" t="s">
        <v>507</v>
      </c>
      <c r="B13" s="461">
        <f>B14+B15+B16+B17+B18+B19+B20</f>
        <v>29300</v>
      </c>
      <c r="C13" s="461"/>
      <c r="D13" s="461">
        <f>D14+D15+D16+D17+D18+D19+D20</f>
        <v>13274.76</v>
      </c>
      <c r="E13" s="462">
        <f t="shared" si="0"/>
        <v>0.45306348122866896</v>
      </c>
      <c r="F13" s="463"/>
    </row>
    <row r="14" spans="1:6" ht="15.75">
      <c r="A14" s="468" t="s">
        <v>1072</v>
      </c>
      <c r="B14" s="465">
        <v>1500</v>
      </c>
      <c r="C14" s="465"/>
      <c r="D14" s="465">
        <f>147.66+161.14</f>
        <v>308.79999999999995</v>
      </c>
      <c r="E14" s="466">
        <f t="shared" si="0"/>
        <v>0.20586666666666664</v>
      </c>
      <c r="F14" s="464" t="s">
        <v>1073</v>
      </c>
    </row>
    <row r="15" spans="1:6" ht="63" customHeight="1">
      <c r="A15" s="468" t="s">
        <v>1074</v>
      </c>
      <c r="B15" s="465">
        <v>6600</v>
      </c>
      <c r="C15" s="465"/>
      <c r="D15" s="465">
        <v>3019.67</v>
      </c>
      <c r="E15" s="466">
        <f t="shared" si="0"/>
        <v>0.4575257575757576</v>
      </c>
      <c r="F15" s="464" t="s">
        <v>1075</v>
      </c>
    </row>
    <row r="16" spans="1:6" ht="31.5">
      <c r="A16" s="468" t="s">
        <v>1076</v>
      </c>
      <c r="B16" s="465">
        <v>1500</v>
      </c>
      <c r="C16" s="465"/>
      <c r="D16" s="465">
        <v>409.19</v>
      </c>
      <c r="E16" s="466">
        <f t="shared" si="0"/>
        <v>0.27279333333333333</v>
      </c>
      <c r="F16" s="464" t="s">
        <v>1098</v>
      </c>
    </row>
    <row r="17" spans="1:6" ht="31.5">
      <c r="A17" s="468" t="s">
        <v>1099</v>
      </c>
      <c r="B17" s="465">
        <v>8000</v>
      </c>
      <c r="C17" s="465"/>
      <c r="D17" s="465">
        <v>3960</v>
      </c>
      <c r="E17" s="466">
        <f t="shared" si="0"/>
        <v>0.495</v>
      </c>
      <c r="F17" s="464" t="s">
        <v>596</v>
      </c>
    </row>
    <row r="18" spans="1:6" ht="15.75">
      <c r="A18" s="468" t="s">
        <v>597</v>
      </c>
      <c r="B18" s="465">
        <v>2500</v>
      </c>
      <c r="C18" s="465"/>
      <c r="D18" s="465">
        <v>793</v>
      </c>
      <c r="E18" s="466">
        <f t="shared" si="0"/>
        <v>0.3172</v>
      </c>
      <c r="F18" s="464" t="s">
        <v>598</v>
      </c>
    </row>
    <row r="19" spans="1:6" ht="15.75">
      <c r="A19" s="468" t="s">
        <v>599</v>
      </c>
      <c r="B19" s="465">
        <v>4500</v>
      </c>
      <c r="C19" s="465"/>
      <c r="D19" s="465">
        <f>1403+519.72+83.69</f>
        <v>2006.41</v>
      </c>
      <c r="E19" s="466">
        <f t="shared" si="0"/>
        <v>0.4458688888888889</v>
      </c>
      <c r="F19" s="464" t="s">
        <v>716</v>
      </c>
    </row>
    <row r="20" spans="1:6" ht="15.75">
      <c r="A20" s="468" t="s">
        <v>600</v>
      </c>
      <c r="B20" s="465">
        <v>4700</v>
      </c>
      <c r="C20" s="465"/>
      <c r="D20" s="465">
        <f>2196+272+309.69</f>
        <v>2777.69</v>
      </c>
      <c r="E20" s="466">
        <f t="shared" si="0"/>
        <v>0.5909978723404256</v>
      </c>
      <c r="F20" s="464" t="s">
        <v>717</v>
      </c>
    </row>
    <row r="21" spans="1:6" ht="15.75">
      <c r="A21" s="467" t="s">
        <v>601</v>
      </c>
      <c r="B21" s="461">
        <f>B22+B23</f>
        <v>154800</v>
      </c>
      <c r="C21" s="461"/>
      <c r="D21" s="461">
        <f>D22+D23</f>
        <v>81351.94</v>
      </c>
      <c r="E21" s="462">
        <f t="shared" si="0"/>
        <v>0.5255293281653747</v>
      </c>
      <c r="F21" s="463"/>
    </row>
    <row r="22" spans="1:6" ht="31.5">
      <c r="A22" s="468" t="s">
        <v>602</v>
      </c>
      <c r="B22" s="465">
        <v>141800</v>
      </c>
      <c r="C22" s="465"/>
      <c r="D22" s="465">
        <v>76353.94</v>
      </c>
      <c r="E22" s="466">
        <f t="shared" si="0"/>
        <v>0.5384622002820875</v>
      </c>
      <c r="F22" s="464" t="s">
        <v>603</v>
      </c>
    </row>
    <row r="23" spans="1:6" ht="31.5">
      <c r="A23" s="468" t="s">
        <v>604</v>
      </c>
      <c r="B23" s="465">
        <v>13000</v>
      </c>
      <c r="C23" s="465"/>
      <c r="D23" s="465">
        <f>4500+498</f>
        <v>4998</v>
      </c>
      <c r="E23" s="466">
        <f t="shared" si="0"/>
        <v>0.38446153846153847</v>
      </c>
      <c r="F23" s="464" t="s">
        <v>718</v>
      </c>
    </row>
    <row r="24" spans="1:6" ht="31.5">
      <c r="A24" s="469" t="s">
        <v>605</v>
      </c>
      <c r="B24" s="470">
        <v>26000</v>
      </c>
      <c r="C24" s="470"/>
      <c r="D24" s="470">
        <v>15673.03</v>
      </c>
      <c r="E24" s="471">
        <f t="shared" si="0"/>
        <v>0.6028088461538462</v>
      </c>
      <c r="F24" s="472" t="s">
        <v>719</v>
      </c>
    </row>
    <row r="25" spans="1:6" ht="15.75">
      <c r="A25" s="469" t="s">
        <v>606</v>
      </c>
      <c r="B25" s="470">
        <v>3400</v>
      </c>
      <c r="C25" s="470"/>
      <c r="D25" s="470">
        <v>3312</v>
      </c>
      <c r="E25" s="471">
        <f t="shared" si="0"/>
        <v>0.9741176470588235</v>
      </c>
      <c r="F25" s="472" t="s">
        <v>139</v>
      </c>
    </row>
    <row r="26" spans="1:6" ht="31.5">
      <c r="A26" s="473" t="s">
        <v>607</v>
      </c>
      <c r="B26" s="470">
        <v>1800</v>
      </c>
      <c r="C26" s="470"/>
      <c r="D26" s="470">
        <v>922.93</v>
      </c>
      <c r="E26" s="474">
        <f t="shared" si="0"/>
        <v>0.5127388888888889</v>
      </c>
      <c r="F26" s="464" t="s">
        <v>720</v>
      </c>
    </row>
    <row r="27" spans="1:6" ht="31.5">
      <c r="A27" s="475" t="s">
        <v>608</v>
      </c>
      <c r="B27" s="470">
        <v>1200</v>
      </c>
      <c r="C27" s="470"/>
      <c r="D27" s="470">
        <v>433.8</v>
      </c>
      <c r="E27" s="474">
        <f t="shared" si="0"/>
        <v>0.3615</v>
      </c>
      <c r="F27" s="464" t="s">
        <v>609</v>
      </c>
    </row>
    <row r="28" spans="1:6" ht="31.5">
      <c r="A28" s="475" t="s">
        <v>140</v>
      </c>
      <c r="B28" s="470">
        <v>2300</v>
      </c>
      <c r="C28" s="470"/>
      <c r="D28" s="470">
        <v>1222.64</v>
      </c>
      <c r="E28" s="474">
        <f t="shared" si="0"/>
        <v>0.5315826086956522</v>
      </c>
      <c r="F28" s="464" t="s">
        <v>729</v>
      </c>
    </row>
    <row r="29" spans="1:6" ht="47.25">
      <c r="A29" s="475" t="s">
        <v>610</v>
      </c>
      <c r="B29" s="470">
        <v>3000</v>
      </c>
      <c r="C29" s="470"/>
      <c r="D29" s="470">
        <v>888.89</v>
      </c>
      <c r="E29" s="474">
        <f t="shared" si="0"/>
        <v>0.29629666666666665</v>
      </c>
      <c r="F29" s="464" t="s">
        <v>721</v>
      </c>
    </row>
    <row r="30" spans="1:6" ht="31.5">
      <c r="A30" s="473" t="s">
        <v>611</v>
      </c>
      <c r="B30" s="470"/>
      <c r="C30" s="470"/>
      <c r="D30" s="470"/>
      <c r="E30" s="474"/>
      <c r="F30" s="464" t="s">
        <v>612</v>
      </c>
    </row>
    <row r="31" spans="1:6" ht="15.75">
      <c r="A31" s="467" t="s">
        <v>133</v>
      </c>
      <c r="B31" s="461">
        <f>B30+B29+B28+B27+B26+B25+B24+B21+B13+B10+B9+B4</f>
        <v>272800</v>
      </c>
      <c r="C31" s="461"/>
      <c r="D31" s="461">
        <f>D29+D28+D27+D26+D25+D24+D21+D13+D4+D9+D10</f>
        <v>141583.87000000002</v>
      </c>
      <c r="E31" s="462">
        <f>D31/B31</f>
        <v>0.5190024560117303</v>
      </c>
      <c r="F31" s="463"/>
    </row>
    <row r="32" spans="1:6" ht="15.75">
      <c r="A32" s="476"/>
      <c r="B32" s="477"/>
      <c r="C32" s="477"/>
      <c r="D32" s="477"/>
      <c r="E32" s="478"/>
      <c r="F32" s="479"/>
    </row>
    <row r="33" spans="1:6" ht="15.75">
      <c r="A33" s="480" t="s">
        <v>214</v>
      </c>
      <c r="B33" s="481"/>
      <c r="C33" s="481"/>
      <c r="D33" s="481"/>
      <c r="E33" s="482"/>
      <c r="F33" s="483" t="s">
        <v>727</v>
      </c>
    </row>
    <row r="34" spans="1:6" s="257" customFormat="1" ht="31.5">
      <c r="A34" s="473" t="s">
        <v>215</v>
      </c>
      <c r="B34" s="484">
        <v>269000</v>
      </c>
      <c r="C34" s="484"/>
      <c r="D34" s="484">
        <v>141500</v>
      </c>
      <c r="E34" s="474">
        <f>D34/B34</f>
        <v>0.5260223048327137</v>
      </c>
      <c r="F34" s="464" t="s">
        <v>722</v>
      </c>
    </row>
    <row r="35" spans="1:6" ht="15.75">
      <c r="A35" s="486" t="s">
        <v>216</v>
      </c>
      <c r="B35" s="487">
        <v>3800</v>
      </c>
      <c r="C35" s="487"/>
      <c r="D35" s="487">
        <f>D39+D38+D37+D36</f>
        <v>1244.88</v>
      </c>
      <c r="E35" s="488">
        <f>D35/B35</f>
        <v>0.3276</v>
      </c>
      <c r="F35" s="485"/>
    </row>
    <row r="36" spans="1:6" ht="15.75">
      <c r="A36" s="489" t="s">
        <v>879</v>
      </c>
      <c r="B36" s="490"/>
      <c r="C36" s="490"/>
      <c r="D36" s="490">
        <v>525.8</v>
      </c>
      <c r="E36" s="491"/>
      <c r="F36" s="485" t="s">
        <v>885</v>
      </c>
    </row>
    <row r="37" spans="1:6" ht="15.75">
      <c r="A37" s="489" t="s">
        <v>880</v>
      </c>
      <c r="B37" s="490"/>
      <c r="C37" s="490"/>
      <c r="D37" s="490">
        <v>620.5</v>
      </c>
      <c r="E37" s="491"/>
      <c r="F37" s="485" t="s">
        <v>881</v>
      </c>
    </row>
    <row r="38" spans="1:6" ht="15.75">
      <c r="A38" s="489" t="s">
        <v>882</v>
      </c>
      <c r="B38" s="490"/>
      <c r="C38" s="490"/>
      <c r="D38" s="490">
        <v>98</v>
      </c>
      <c r="E38" s="491"/>
      <c r="F38" s="485"/>
    </row>
    <row r="39" spans="1:6" ht="31.5">
      <c r="A39" s="485" t="s">
        <v>883</v>
      </c>
      <c r="B39" s="492"/>
      <c r="C39" s="492"/>
      <c r="D39" s="492">
        <v>0.58</v>
      </c>
      <c r="E39" s="466"/>
      <c r="F39" s="485" t="s">
        <v>884</v>
      </c>
    </row>
    <row r="40" spans="1:6" ht="15.75">
      <c r="A40" s="493" t="s">
        <v>133</v>
      </c>
      <c r="B40" s="494">
        <f>SUM(B34:B39)</f>
        <v>272800</v>
      </c>
      <c r="C40" s="494"/>
      <c r="D40" s="494">
        <f>D35+D34</f>
        <v>142744.88</v>
      </c>
      <c r="E40" s="495">
        <f>D40/B40</f>
        <v>0.5232583577712611</v>
      </c>
      <c r="F40" s="496"/>
    </row>
    <row r="41" spans="1:5" ht="15.75">
      <c r="A41" s="476"/>
      <c r="B41" s="477"/>
      <c r="C41" s="477"/>
      <c r="D41" s="477"/>
      <c r="E41" s="478"/>
    </row>
    <row r="42" spans="1:6" ht="33" customHeight="1">
      <c r="A42" s="671" t="s">
        <v>726</v>
      </c>
      <c r="B42" s="671"/>
      <c r="C42" s="671"/>
      <c r="D42" s="671"/>
      <c r="E42" s="671"/>
      <c r="F42" s="671"/>
    </row>
    <row r="43" spans="1:5" ht="15.75">
      <c r="A43" s="476" t="s">
        <v>723</v>
      </c>
      <c r="C43" s="477"/>
      <c r="D43" s="477"/>
      <c r="E43" s="478"/>
    </row>
    <row r="44" spans="1:5" ht="15.75">
      <c r="A44" s="476"/>
      <c r="C44" s="477"/>
      <c r="D44" s="477"/>
      <c r="E44" s="478"/>
    </row>
    <row r="45" spans="1:5" ht="15.75">
      <c r="A45" s="476"/>
      <c r="E45" s="478"/>
    </row>
    <row r="46" spans="1:5" ht="15.75">
      <c r="A46" s="476"/>
      <c r="E46" s="478"/>
    </row>
    <row r="47" spans="1:5" ht="15.75">
      <c r="A47" s="476"/>
      <c r="E47" s="478"/>
    </row>
    <row r="48" spans="1:5" ht="15.75">
      <c r="A48" s="476"/>
      <c r="E48" s="478"/>
    </row>
    <row r="49" spans="1:5" ht="15.75">
      <c r="A49" s="476"/>
      <c r="E49" s="478"/>
    </row>
    <row r="50" spans="1:5" ht="15.75">
      <c r="A50" s="476"/>
      <c r="E50" s="478"/>
    </row>
    <row r="51" spans="1:5" ht="15.75">
      <c r="A51" s="476"/>
      <c r="E51" s="478"/>
    </row>
    <row r="52" spans="1:5" ht="15.75">
      <c r="A52" s="476"/>
      <c r="E52" s="478"/>
    </row>
    <row r="53" spans="1:5" ht="15.75">
      <c r="A53" s="476"/>
      <c r="E53" s="478"/>
    </row>
    <row r="54" spans="1:5" ht="15.75">
      <c r="A54" s="476"/>
      <c r="E54" s="478"/>
    </row>
    <row r="55" ht="15.75">
      <c r="A55" s="476"/>
    </row>
    <row r="56" ht="15.75">
      <c r="A56" s="476"/>
    </row>
    <row r="57" ht="15.75">
      <c r="A57" s="476"/>
    </row>
    <row r="58" ht="15.75">
      <c r="A58" s="476"/>
    </row>
    <row r="59" ht="15.75">
      <c r="A59" s="476"/>
    </row>
    <row r="60" ht="15.75">
      <c r="A60" s="476"/>
    </row>
    <row r="61" ht="15.75">
      <c r="A61" s="476"/>
    </row>
    <row r="62" ht="15.75">
      <c r="A62" s="476"/>
    </row>
    <row r="63" ht="15.75">
      <c r="A63" s="476"/>
    </row>
    <row r="64" ht="15.75">
      <c r="A64" s="476"/>
    </row>
    <row r="65" ht="15.75">
      <c r="A65" s="476"/>
    </row>
    <row r="66" ht="15.75">
      <c r="A66" s="476"/>
    </row>
    <row r="67" ht="15.75">
      <c r="A67" s="476"/>
    </row>
    <row r="68" ht="15.75">
      <c r="A68" s="476"/>
    </row>
    <row r="69" ht="15.75">
      <c r="A69" s="476"/>
    </row>
    <row r="70" ht="15.75">
      <c r="A70" s="476"/>
    </row>
    <row r="71" ht="15.75">
      <c r="A71" s="476"/>
    </row>
    <row r="72" ht="15.75">
      <c r="A72" s="476"/>
    </row>
    <row r="73" ht="15.75">
      <c r="A73" s="476"/>
    </row>
    <row r="74" ht="15.75">
      <c r="A74" s="476"/>
    </row>
    <row r="75" ht="15.75">
      <c r="A75" s="476"/>
    </row>
    <row r="76" ht="15.75">
      <c r="A76" s="476"/>
    </row>
    <row r="77" ht="15.75">
      <c r="A77" s="476"/>
    </row>
    <row r="78" ht="15.75">
      <c r="A78" s="476"/>
    </row>
    <row r="79" ht="15.75">
      <c r="A79" s="476"/>
    </row>
    <row r="80" ht="15.75">
      <c r="A80" s="476"/>
    </row>
    <row r="81" ht="15.75">
      <c r="A81" s="476"/>
    </row>
    <row r="82" ht="15.75">
      <c r="A82" s="476"/>
    </row>
    <row r="83" ht="15.75">
      <c r="A83" s="476"/>
    </row>
    <row r="84" ht="15.75">
      <c r="A84" s="476"/>
    </row>
    <row r="85" ht="15.75">
      <c r="A85" s="476"/>
    </row>
    <row r="86" ht="15.75">
      <c r="A86" s="476"/>
    </row>
    <row r="87" ht="15.75">
      <c r="A87" s="476"/>
    </row>
    <row r="88" ht="15.75">
      <c r="A88" s="476"/>
    </row>
    <row r="89" ht="15.75">
      <c r="A89" s="476"/>
    </row>
    <row r="90" ht="15.75">
      <c r="A90" s="476"/>
    </row>
    <row r="91" ht="15.75">
      <c r="A91" s="476"/>
    </row>
    <row r="92" ht="15.75">
      <c r="A92" s="476"/>
    </row>
    <row r="93" ht="15.75">
      <c r="A93" s="476"/>
    </row>
    <row r="94" ht="15.75">
      <c r="A94" s="476"/>
    </row>
    <row r="95" ht="15.75">
      <c r="A95" s="476"/>
    </row>
    <row r="96" ht="15.75">
      <c r="A96" s="476"/>
    </row>
    <row r="97" ht="15.75">
      <c r="A97" s="476"/>
    </row>
    <row r="98" ht="15.75">
      <c r="A98" s="476"/>
    </row>
    <row r="99" ht="15.75">
      <c r="A99" s="476"/>
    </row>
    <row r="100" ht="15.75">
      <c r="A100" s="476"/>
    </row>
    <row r="101" ht="15.75">
      <c r="A101" s="476"/>
    </row>
    <row r="102" ht="15.75">
      <c r="A102" s="476"/>
    </row>
    <row r="103" ht="15.75">
      <c r="A103" s="476"/>
    </row>
    <row r="104" ht="15.75">
      <c r="A104" s="476"/>
    </row>
    <row r="105" ht="15.75">
      <c r="A105" s="476"/>
    </row>
  </sheetData>
  <mergeCells count="1">
    <mergeCell ref="A42:F42"/>
  </mergeCells>
  <printOptions horizontalCentered="1"/>
  <pageMargins left="0.13" right="0.11811023622047245" top="0.11811023622047245" bottom="0.4724409448818898" header="0.07874015748031496" footer="0.4724409448818898"/>
  <pageSetup horizontalDpi="300" verticalDpi="3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1"/>
  </sheetPr>
  <dimension ref="A1:O60"/>
  <sheetViews>
    <sheetView tabSelected="1" zoomScale="150" zoomScaleNormal="150" workbookViewId="0" topLeftCell="K1">
      <selection activeCell="Q14" sqref="Q14"/>
    </sheetView>
  </sheetViews>
  <sheetFormatPr defaultColWidth="9.140625" defaultRowHeight="12.75"/>
  <cols>
    <col min="1" max="1" width="32.8515625" style="338" customWidth="1"/>
    <col min="2" max="2" width="16.57421875" style="245" hidden="1" customWidth="1"/>
    <col min="3" max="4" width="13.421875" style="245" hidden="1" customWidth="1"/>
    <col min="5" max="5" width="13.28125" style="245" customWidth="1"/>
    <col min="6" max="8" width="15.28125" style="245" hidden="1" customWidth="1"/>
    <col min="9" max="9" width="13.421875" style="245" hidden="1" customWidth="1"/>
    <col min="10" max="10" width="16.421875" style="335" hidden="1" customWidth="1"/>
    <col min="11" max="11" width="0.13671875" style="246" customWidth="1"/>
    <col min="12" max="12" width="14.28125" style="245" customWidth="1"/>
    <col min="13" max="13" width="14.57421875" style="335" customWidth="1"/>
    <col min="14" max="14" width="16.140625" style="246" hidden="1" customWidth="1"/>
    <col min="15" max="15" width="42.140625" style="246" customWidth="1"/>
    <col min="16" max="21" width="9.140625" style="246" customWidth="1"/>
    <col min="22" max="22" width="12.421875" style="246" bestFit="1" customWidth="1"/>
    <col min="23" max="16384" width="9.140625" style="246" customWidth="1"/>
  </cols>
  <sheetData>
    <row r="1" ht="12.75">
      <c r="O1" s="505" t="s">
        <v>15</v>
      </c>
    </row>
    <row r="2" spans="1:15" ht="25.5" customHeight="1" thickBot="1">
      <c r="A2" s="672" t="s">
        <v>16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</row>
    <row r="3" spans="1:15" s="508" customFormat="1" ht="24" customHeight="1">
      <c r="A3" s="673" t="s">
        <v>99</v>
      </c>
      <c r="B3" s="675" t="s">
        <v>17</v>
      </c>
      <c r="C3" s="677" t="s">
        <v>18</v>
      </c>
      <c r="D3" s="679" t="s">
        <v>19</v>
      </c>
      <c r="E3" s="681" t="s">
        <v>20</v>
      </c>
      <c r="F3" s="506" t="s">
        <v>100</v>
      </c>
      <c r="G3" s="506"/>
      <c r="H3" s="683" t="s">
        <v>21</v>
      </c>
      <c r="I3" s="685" t="s">
        <v>22</v>
      </c>
      <c r="J3" s="507" t="s">
        <v>101</v>
      </c>
      <c r="K3" s="687" t="s">
        <v>23</v>
      </c>
      <c r="L3" s="685" t="s">
        <v>24</v>
      </c>
      <c r="M3" s="697" t="s">
        <v>707</v>
      </c>
      <c r="N3" s="703" t="s">
        <v>867</v>
      </c>
      <c r="O3" s="673" t="s">
        <v>868</v>
      </c>
    </row>
    <row r="4" spans="1:15" s="512" customFormat="1" ht="20.25" customHeight="1" thickBot="1">
      <c r="A4" s="674"/>
      <c r="B4" s="676"/>
      <c r="C4" s="678"/>
      <c r="D4" s="680"/>
      <c r="E4" s="682"/>
      <c r="F4" s="509"/>
      <c r="G4" s="509"/>
      <c r="H4" s="684"/>
      <c r="I4" s="686"/>
      <c r="J4" s="511" t="s">
        <v>869</v>
      </c>
      <c r="K4" s="688"/>
      <c r="L4" s="686"/>
      <c r="M4" s="698"/>
      <c r="N4" s="704"/>
      <c r="O4" s="674"/>
    </row>
    <row r="5" spans="1:15" ht="12.75">
      <c r="A5" s="344" t="s">
        <v>104</v>
      </c>
      <c r="B5" s="345">
        <f>SUM(B6:B9)</f>
        <v>17850</v>
      </c>
      <c r="C5" s="346">
        <f>SUM(C6:C9)</f>
        <v>-1200</v>
      </c>
      <c r="D5" s="347">
        <f>SUM(D6:D9)</f>
        <v>-4500</v>
      </c>
      <c r="E5" s="345">
        <f aca="true" t="shared" si="0" ref="E5:E12">SUM(B5:D5)</f>
        <v>12150</v>
      </c>
      <c r="F5" s="347">
        <f>SUM(F6:F9)</f>
        <v>0</v>
      </c>
      <c r="G5" s="347">
        <f>SUM(G6:G9)</f>
        <v>0</v>
      </c>
      <c r="H5" s="345">
        <f>SUM(E5:G5)</f>
        <v>12150</v>
      </c>
      <c r="I5" s="347">
        <f>SUM(I6:I9)</f>
        <v>0</v>
      </c>
      <c r="J5" s="348">
        <f aca="true" t="shared" si="1" ref="J5:J25">I5/E5</f>
        <v>0</v>
      </c>
      <c r="K5" s="349">
        <f aca="true" t="shared" si="2" ref="K5:K25">E5-I5</f>
        <v>12150</v>
      </c>
      <c r="L5" s="347">
        <f>SUM(L6:L9)</f>
        <v>5940.08</v>
      </c>
      <c r="M5" s="350">
        <f aca="true" t="shared" si="3" ref="M5:M25">L5/H5</f>
        <v>0.4888954732510288</v>
      </c>
      <c r="N5" s="351">
        <f aca="true" t="shared" si="4" ref="N5:N25">H5-L5</f>
        <v>6209.92</v>
      </c>
      <c r="O5" s="513" t="s">
        <v>870</v>
      </c>
    </row>
    <row r="6" spans="1:15" ht="16.5" customHeight="1">
      <c r="A6" s="352" t="s">
        <v>105</v>
      </c>
      <c r="B6" s="353">
        <v>1500</v>
      </c>
      <c r="C6" s="354"/>
      <c r="D6" s="355">
        <v>-500</v>
      </c>
      <c r="E6" s="353">
        <f t="shared" si="0"/>
        <v>1000</v>
      </c>
      <c r="F6" s="355"/>
      <c r="G6" s="355"/>
      <c r="H6" s="367">
        <f aca="true" t="shared" si="5" ref="H6:H12">E6+F6+G6</f>
        <v>1000</v>
      </c>
      <c r="I6" s="355"/>
      <c r="J6" s="356">
        <f t="shared" si="1"/>
        <v>0</v>
      </c>
      <c r="K6" s="357">
        <f t="shared" si="2"/>
        <v>1000</v>
      </c>
      <c r="L6" s="355">
        <f>'[2]4'!M208</f>
        <v>399.66</v>
      </c>
      <c r="M6" s="358">
        <f t="shared" si="3"/>
        <v>0.39966</v>
      </c>
      <c r="N6" s="359">
        <f t="shared" si="4"/>
        <v>600.3399999999999</v>
      </c>
      <c r="O6" s="514" t="s">
        <v>106</v>
      </c>
    </row>
    <row r="7" spans="1:15" ht="42" customHeight="1">
      <c r="A7" s="352" t="s">
        <v>871</v>
      </c>
      <c r="B7" s="360">
        <v>10000</v>
      </c>
      <c r="C7" s="361">
        <v>-1200</v>
      </c>
      <c r="D7" s="357">
        <v>-4000</v>
      </c>
      <c r="E7" s="353">
        <f t="shared" si="0"/>
        <v>4800</v>
      </c>
      <c r="F7" s="355"/>
      <c r="G7" s="355"/>
      <c r="H7" s="353">
        <f t="shared" si="5"/>
        <v>4800</v>
      </c>
      <c r="I7" s="357"/>
      <c r="J7" s="356">
        <f t="shared" si="1"/>
        <v>0</v>
      </c>
      <c r="K7" s="357">
        <f t="shared" si="2"/>
        <v>4800</v>
      </c>
      <c r="L7" s="357">
        <f>'[2]4'!O208+'[2]4'!W208</f>
        <v>1520.54</v>
      </c>
      <c r="M7" s="358">
        <f t="shared" si="3"/>
        <v>0.31677916666666667</v>
      </c>
      <c r="N7" s="359">
        <f t="shared" si="4"/>
        <v>3279.46</v>
      </c>
      <c r="O7" s="514" t="s">
        <v>872</v>
      </c>
    </row>
    <row r="8" spans="1:15" ht="28.5" customHeight="1">
      <c r="A8" s="352" t="s">
        <v>107</v>
      </c>
      <c r="B8" s="360">
        <v>850</v>
      </c>
      <c r="C8" s="361"/>
      <c r="D8" s="357"/>
      <c r="E8" s="353">
        <f t="shared" si="0"/>
        <v>850</v>
      </c>
      <c r="F8" s="355"/>
      <c r="G8" s="355"/>
      <c r="H8" s="353">
        <f t="shared" si="5"/>
        <v>850</v>
      </c>
      <c r="I8" s="357"/>
      <c r="J8" s="356">
        <f t="shared" si="1"/>
        <v>0</v>
      </c>
      <c r="K8" s="357">
        <f t="shared" si="2"/>
        <v>850</v>
      </c>
      <c r="L8" s="357">
        <f>'[2]4'!Q208</f>
        <v>381.85</v>
      </c>
      <c r="M8" s="358">
        <f t="shared" si="3"/>
        <v>0.44923529411764707</v>
      </c>
      <c r="N8" s="359">
        <f t="shared" si="4"/>
        <v>468.15</v>
      </c>
      <c r="O8" s="514" t="s">
        <v>873</v>
      </c>
    </row>
    <row r="9" spans="1:15" ht="81" customHeight="1">
      <c r="A9" s="352" t="s">
        <v>874</v>
      </c>
      <c r="B9" s="360">
        <v>5500</v>
      </c>
      <c r="C9" s="361"/>
      <c r="D9" s="357"/>
      <c r="E9" s="353">
        <f t="shared" si="0"/>
        <v>5500</v>
      </c>
      <c r="F9" s="355"/>
      <c r="G9" s="355"/>
      <c r="H9" s="353">
        <f t="shared" si="5"/>
        <v>5500</v>
      </c>
      <c r="I9" s="357"/>
      <c r="J9" s="362">
        <f t="shared" si="1"/>
        <v>0</v>
      </c>
      <c r="K9" s="357">
        <f t="shared" si="2"/>
        <v>5500</v>
      </c>
      <c r="L9" s="357">
        <f>-L8-L7-L6+'[2]4'!K208+'[2]4'!I208</f>
        <v>3638.03</v>
      </c>
      <c r="M9" s="358">
        <f t="shared" si="3"/>
        <v>0.66146</v>
      </c>
      <c r="N9" s="359">
        <f t="shared" si="4"/>
        <v>1861.9699999999998</v>
      </c>
      <c r="O9" s="514" t="s">
        <v>708</v>
      </c>
    </row>
    <row r="10" spans="1:15" ht="25.5">
      <c r="A10" s="363" t="s">
        <v>503</v>
      </c>
      <c r="B10" s="351">
        <v>25500</v>
      </c>
      <c r="C10" s="364">
        <v>-500</v>
      </c>
      <c r="D10" s="349">
        <v>-2000</v>
      </c>
      <c r="E10" s="351">
        <f t="shared" si="0"/>
        <v>23000</v>
      </c>
      <c r="F10" s="349"/>
      <c r="G10" s="349"/>
      <c r="H10" s="515">
        <f t="shared" si="5"/>
        <v>23000</v>
      </c>
      <c r="I10" s="349"/>
      <c r="J10" s="365">
        <f t="shared" si="1"/>
        <v>0</v>
      </c>
      <c r="K10" s="349">
        <f t="shared" si="2"/>
        <v>23000</v>
      </c>
      <c r="L10" s="349">
        <f>'[2]4'!AG208</f>
        <v>17508.23</v>
      </c>
      <c r="M10" s="366">
        <f t="shared" si="3"/>
        <v>0.7612273913043478</v>
      </c>
      <c r="N10" s="351">
        <f t="shared" si="4"/>
        <v>5491.77</v>
      </c>
      <c r="O10" s="514" t="s">
        <v>504</v>
      </c>
    </row>
    <row r="11" spans="1:15" ht="12.75">
      <c r="A11" s="363" t="s">
        <v>505</v>
      </c>
      <c r="B11" s="351">
        <v>700</v>
      </c>
      <c r="C11" s="364"/>
      <c r="D11" s="349"/>
      <c r="E11" s="351">
        <f t="shared" si="0"/>
        <v>700</v>
      </c>
      <c r="F11" s="349"/>
      <c r="G11" s="349"/>
      <c r="H11" s="351">
        <f t="shared" si="5"/>
        <v>700</v>
      </c>
      <c r="I11" s="349"/>
      <c r="J11" s="365">
        <f t="shared" si="1"/>
        <v>0</v>
      </c>
      <c r="K11" s="349">
        <f t="shared" si="2"/>
        <v>700</v>
      </c>
      <c r="L11" s="349">
        <f>'[2]4'!AI208</f>
        <v>0</v>
      </c>
      <c r="M11" s="366">
        <f t="shared" si="3"/>
        <v>0</v>
      </c>
      <c r="N11" s="351">
        <f t="shared" si="4"/>
        <v>700</v>
      </c>
      <c r="O11" s="516" t="s">
        <v>870</v>
      </c>
    </row>
    <row r="12" spans="1:15" ht="25.5">
      <c r="A12" s="363" t="s">
        <v>875</v>
      </c>
      <c r="B12" s="351">
        <v>250</v>
      </c>
      <c r="C12" s="364"/>
      <c r="D12" s="349"/>
      <c r="E12" s="351">
        <f t="shared" si="0"/>
        <v>250</v>
      </c>
      <c r="F12" s="349"/>
      <c r="G12" s="349"/>
      <c r="H12" s="517">
        <f t="shared" si="5"/>
        <v>250</v>
      </c>
      <c r="I12" s="349"/>
      <c r="J12" s="365">
        <f t="shared" si="1"/>
        <v>0</v>
      </c>
      <c r="K12" s="349">
        <f t="shared" si="2"/>
        <v>250</v>
      </c>
      <c r="L12" s="349">
        <f>'[2]4'!AK208</f>
        <v>132.02</v>
      </c>
      <c r="M12" s="366">
        <f t="shared" si="3"/>
        <v>0.52808</v>
      </c>
      <c r="N12" s="351">
        <f t="shared" si="4"/>
        <v>117.97999999999999</v>
      </c>
      <c r="O12" s="514" t="s">
        <v>506</v>
      </c>
    </row>
    <row r="13" spans="1:15" ht="12.75">
      <c r="A13" s="363" t="s">
        <v>507</v>
      </c>
      <c r="B13" s="351">
        <f aca="true" t="shared" si="6" ref="B13:I13">SUM(B14:B23)</f>
        <v>50550</v>
      </c>
      <c r="C13" s="364">
        <f t="shared" si="6"/>
        <v>-5000</v>
      </c>
      <c r="D13" s="349">
        <f t="shared" si="6"/>
        <v>-13500</v>
      </c>
      <c r="E13" s="351">
        <f t="shared" si="6"/>
        <v>32050</v>
      </c>
      <c r="F13" s="349">
        <f t="shared" si="6"/>
        <v>0</v>
      </c>
      <c r="G13" s="349">
        <f t="shared" si="6"/>
        <v>0</v>
      </c>
      <c r="H13" s="351">
        <f t="shared" si="6"/>
        <v>32050</v>
      </c>
      <c r="I13" s="349">
        <f t="shared" si="6"/>
        <v>0</v>
      </c>
      <c r="J13" s="365">
        <f t="shared" si="1"/>
        <v>0</v>
      </c>
      <c r="K13" s="349">
        <f t="shared" si="2"/>
        <v>32050</v>
      </c>
      <c r="L13" s="349">
        <f>SUM(L14:L23)</f>
        <v>12858.89</v>
      </c>
      <c r="M13" s="366">
        <f t="shared" si="3"/>
        <v>0.4012134165366614</v>
      </c>
      <c r="N13" s="351">
        <f t="shared" si="4"/>
        <v>19191.11</v>
      </c>
      <c r="O13" s="518" t="s">
        <v>870</v>
      </c>
    </row>
    <row r="14" spans="1:15" ht="25.5">
      <c r="A14" s="352" t="s">
        <v>876</v>
      </c>
      <c r="B14" s="360">
        <v>2500</v>
      </c>
      <c r="C14" s="361"/>
      <c r="D14" s="357">
        <v>500</v>
      </c>
      <c r="E14" s="360">
        <f aca="true" t="shared" si="7" ref="E14:E23">SUM(B14:D14)</f>
        <v>3000</v>
      </c>
      <c r="F14" s="357"/>
      <c r="G14" s="357"/>
      <c r="H14" s="360">
        <f>E14+F14+G14</f>
        <v>3000</v>
      </c>
      <c r="I14" s="357"/>
      <c r="J14" s="356">
        <f t="shared" si="1"/>
        <v>0</v>
      </c>
      <c r="K14" s="357">
        <f t="shared" si="2"/>
        <v>3000</v>
      </c>
      <c r="L14" s="357">
        <f>'[2]4'!AM208</f>
        <v>2961.6</v>
      </c>
      <c r="M14" s="358">
        <f t="shared" si="3"/>
        <v>0.9872</v>
      </c>
      <c r="N14" s="359">
        <f t="shared" si="4"/>
        <v>38.40000000000009</v>
      </c>
      <c r="O14" s="514" t="s">
        <v>877</v>
      </c>
    </row>
    <row r="15" spans="1:15" ht="63.75">
      <c r="A15" s="352" t="s">
        <v>878</v>
      </c>
      <c r="B15" s="360">
        <v>5200</v>
      </c>
      <c r="C15" s="361"/>
      <c r="D15" s="357">
        <v>-3000</v>
      </c>
      <c r="E15" s="360">
        <f t="shared" si="7"/>
        <v>2200</v>
      </c>
      <c r="F15" s="357"/>
      <c r="G15" s="357"/>
      <c r="H15" s="360">
        <f aca="true" t="shared" si="8" ref="H15:H23">E15+F15+G15</f>
        <v>2200</v>
      </c>
      <c r="I15" s="357"/>
      <c r="J15" s="356">
        <f t="shared" si="1"/>
        <v>0</v>
      </c>
      <c r="K15" s="357">
        <f t="shared" si="2"/>
        <v>2200</v>
      </c>
      <c r="L15" s="357">
        <f>'[2]4'!AO208</f>
        <v>998</v>
      </c>
      <c r="M15" s="358">
        <f t="shared" si="3"/>
        <v>0.4536363636363636</v>
      </c>
      <c r="N15" s="359">
        <f t="shared" si="4"/>
        <v>1202</v>
      </c>
      <c r="O15" s="514" t="s">
        <v>684</v>
      </c>
    </row>
    <row r="16" spans="1:15" ht="12.75">
      <c r="A16" s="352" t="s">
        <v>685</v>
      </c>
      <c r="B16" s="360">
        <v>3000</v>
      </c>
      <c r="C16" s="361">
        <v>-500</v>
      </c>
      <c r="D16" s="357"/>
      <c r="E16" s="360">
        <f t="shared" si="7"/>
        <v>2500</v>
      </c>
      <c r="F16" s="357"/>
      <c r="G16" s="357"/>
      <c r="H16" s="360">
        <f t="shared" si="8"/>
        <v>2500</v>
      </c>
      <c r="I16" s="357"/>
      <c r="J16" s="356">
        <f t="shared" si="1"/>
        <v>0</v>
      </c>
      <c r="K16" s="357">
        <f t="shared" si="2"/>
        <v>2500</v>
      </c>
      <c r="L16" s="357">
        <f>'[2]4'!BI208</f>
        <v>1168.47</v>
      </c>
      <c r="M16" s="358">
        <f t="shared" si="3"/>
        <v>0.467388</v>
      </c>
      <c r="N16" s="359">
        <f t="shared" si="4"/>
        <v>1331.53</v>
      </c>
      <c r="O16" s="514" t="s">
        <v>511</v>
      </c>
    </row>
    <row r="17" spans="1:15" ht="12.75">
      <c r="A17" s="352" t="s">
        <v>686</v>
      </c>
      <c r="B17" s="360">
        <v>2400</v>
      </c>
      <c r="C17" s="361"/>
      <c r="D17" s="357"/>
      <c r="E17" s="360">
        <f t="shared" si="7"/>
        <v>2400</v>
      </c>
      <c r="F17" s="357"/>
      <c r="G17" s="357"/>
      <c r="H17" s="360">
        <f t="shared" si="8"/>
        <v>2400</v>
      </c>
      <c r="I17" s="357"/>
      <c r="J17" s="356">
        <f t="shared" si="1"/>
        <v>0</v>
      </c>
      <c r="K17" s="357">
        <f t="shared" si="2"/>
        <v>2400</v>
      </c>
      <c r="L17" s="357">
        <f>'[2]4'!BU208</f>
        <v>1000</v>
      </c>
      <c r="M17" s="358">
        <f t="shared" si="3"/>
        <v>0.4166666666666667</v>
      </c>
      <c r="N17" s="359">
        <f t="shared" si="4"/>
        <v>1400</v>
      </c>
      <c r="O17" s="514" t="s">
        <v>512</v>
      </c>
    </row>
    <row r="18" spans="1:15" ht="12.75">
      <c r="A18" s="352" t="s">
        <v>687</v>
      </c>
      <c r="B18" s="360">
        <v>3300</v>
      </c>
      <c r="C18" s="361"/>
      <c r="D18" s="357"/>
      <c r="E18" s="360">
        <f t="shared" si="7"/>
        <v>3300</v>
      </c>
      <c r="F18" s="357"/>
      <c r="G18" s="357"/>
      <c r="H18" s="360">
        <f t="shared" si="8"/>
        <v>3300</v>
      </c>
      <c r="I18" s="357"/>
      <c r="J18" s="356">
        <f t="shared" si="1"/>
        <v>0</v>
      </c>
      <c r="K18" s="357">
        <f t="shared" si="2"/>
        <v>3300</v>
      </c>
      <c r="L18" s="357">
        <f>'[2]4'!BO208</f>
        <v>1429.07</v>
      </c>
      <c r="M18" s="358">
        <f t="shared" si="3"/>
        <v>0.43305151515151513</v>
      </c>
      <c r="N18" s="359">
        <f t="shared" si="4"/>
        <v>1870.93</v>
      </c>
      <c r="O18" s="514" t="s">
        <v>688</v>
      </c>
    </row>
    <row r="19" spans="1:15" ht="12.75">
      <c r="A19" s="352" t="s">
        <v>689</v>
      </c>
      <c r="B19" s="360">
        <v>200</v>
      </c>
      <c r="C19" s="361"/>
      <c r="D19" s="357"/>
      <c r="E19" s="360">
        <f t="shared" si="7"/>
        <v>200</v>
      </c>
      <c r="F19" s="357"/>
      <c r="G19" s="357"/>
      <c r="H19" s="360">
        <f t="shared" si="8"/>
        <v>200</v>
      </c>
      <c r="I19" s="357"/>
      <c r="J19" s="356">
        <f t="shared" si="1"/>
        <v>0</v>
      </c>
      <c r="K19" s="357">
        <f t="shared" si="2"/>
        <v>200</v>
      </c>
      <c r="L19" s="357">
        <f>'[2]4'!BQ208</f>
        <v>98.9</v>
      </c>
      <c r="M19" s="358">
        <f t="shared" si="3"/>
        <v>0.49450000000000005</v>
      </c>
      <c r="N19" s="359">
        <f t="shared" si="4"/>
        <v>101.1</v>
      </c>
      <c r="O19" s="514" t="s">
        <v>513</v>
      </c>
    </row>
    <row r="20" spans="1:15" ht="27.75" customHeight="1">
      <c r="A20" s="352" t="s">
        <v>690</v>
      </c>
      <c r="B20" s="360">
        <v>1500</v>
      </c>
      <c r="C20" s="361">
        <v>-500</v>
      </c>
      <c r="D20" s="357">
        <v>-300</v>
      </c>
      <c r="E20" s="360">
        <f t="shared" si="7"/>
        <v>700</v>
      </c>
      <c r="F20" s="357"/>
      <c r="G20" s="357"/>
      <c r="H20" s="360">
        <f t="shared" si="8"/>
        <v>700</v>
      </c>
      <c r="I20" s="357"/>
      <c r="J20" s="356">
        <f t="shared" si="1"/>
        <v>0</v>
      </c>
      <c r="K20" s="357">
        <f t="shared" si="2"/>
        <v>700</v>
      </c>
      <c r="L20" s="357">
        <f>'[2]4'!BS208</f>
        <v>167.4</v>
      </c>
      <c r="M20" s="358">
        <f t="shared" si="3"/>
        <v>0.23914285714285716</v>
      </c>
      <c r="N20" s="359">
        <f t="shared" si="4"/>
        <v>532.6</v>
      </c>
      <c r="O20" s="514" t="s">
        <v>514</v>
      </c>
    </row>
    <row r="21" spans="1:15" ht="51">
      <c r="A21" s="352" t="s">
        <v>691</v>
      </c>
      <c r="B21" s="353">
        <v>28600</v>
      </c>
      <c r="C21" s="361">
        <v>-4000</v>
      </c>
      <c r="D21" s="357">
        <v>-10700</v>
      </c>
      <c r="E21" s="360">
        <f t="shared" si="7"/>
        <v>13900</v>
      </c>
      <c r="F21" s="357"/>
      <c r="G21" s="357"/>
      <c r="H21" s="360">
        <f t="shared" si="8"/>
        <v>13900</v>
      </c>
      <c r="I21" s="357"/>
      <c r="J21" s="356">
        <f t="shared" si="1"/>
        <v>0</v>
      </c>
      <c r="K21" s="357">
        <f t="shared" si="2"/>
        <v>13900</v>
      </c>
      <c r="L21" s="357">
        <f>'[2]4'!BY208</f>
        <v>2925</v>
      </c>
      <c r="M21" s="358">
        <f t="shared" si="3"/>
        <v>0.210431654676259</v>
      </c>
      <c r="N21" s="359">
        <f t="shared" si="4"/>
        <v>10975</v>
      </c>
      <c r="O21" s="514" t="s">
        <v>692</v>
      </c>
    </row>
    <row r="22" spans="1:15" ht="12.75">
      <c r="A22" s="352" t="s">
        <v>693</v>
      </c>
      <c r="B22" s="360">
        <v>650</v>
      </c>
      <c r="C22" s="361"/>
      <c r="D22" s="357"/>
      <c r="E22" s="360">
        <f t="shared" si="7"/>
        <v>650</v>
      </c>
      <c r="F22" s="357"/>
      <c r="G22" s="357"/>
      <c r="H22" s="360">
        <f t="shared" si="8"/>
        <v>650</v>
      </c>
      <c r="I22" s="357"/>
      <c r="J22" s="356">
        <f t="shared" si="1"/>
        <v>0</v>
      </c>
      <c r="K22" s="357">
        <f t="shared" si="2"/>
        <v>650</v>
      </c>
      <c r="L22" s="357">
        <f>'[2]4'!DK208</f>
        <v>293</v>
      </c>
      <c r="M22" s="358">
        <f t="shared" si="3"/>
        <v>0.45076923076923076</v>
      </c>
      <c r="N22" s="359">
        <f t="shared" si="4"/>
        <v>357</v>
      </c>
      <c r="O22" s="514" t="s">
        <v>517</v>
      </c>
    </row>
    <row r="23" spans="1:15" ht="67.5" customHeight="1">
      <c r="A23" s="352" t="s">
        <v>694</v>
      </c>
      <c r="B23" s="360">
        <v>3200</v>
      </c>
      <c r="C23" s="361"/>
      <c r="D23" s="357"/>
      <c r="E23" s="360">
        <f t="shared" si="7"/>
        <v>3200</v>
      </c>
      <c r="F23" s="357"/>
      <c r="G23" s="357"/>
      <c r="H23" s="360">
        <f t="shared" si="8"/>
        <v>3200</v>
      </c>
      <c r="I23" s="357"/>
      <c r="J23" s="356">
        <f t="shared" si="1"/>
        <v>0</v>
      </c>
      <c r="K23" s="357">
        <f t="shared" si="2"/>
        <v>3200</v>
      </c>
      <c r="L23" s="357">
        <f>'[2]4'!BK208+'[2]4'!CA208</f>
        <v>1817.45</v>
      </c>
      <c r="M23" s="358">
        <f t="shared" si="3"/>
        <v>0.5679531250000001</v>
      </c>
      <c r="N23" s="359">
        <f t="shared" si="4"/>
        <v>1382.55</v>
      </c>
      <c r="O23" s="514" t="s">
        <v>695</v>
      </c>
    </row>
    <row r="24" spans="1:15" ht="12.75">
      <c r="A24" s="363" t="s">
        <v>696</v>
      </c>
      <c r="B24" s="351">
        <f aca="true" t="shared" si="9" ref="B24:I24">SUM(B25:B27)</f>
        <v>122250</v>
      </c>
      <c r="C24" s="364">
        <f t="shared" si="9"/>
        <v>0</v>
      </c>
      <c r="D24" s="349">
        <f t="shared" si="9"/>
        <v>-1000</v>
      </c>
      <c r="E24" s="351">
        <f t="shared" si="9"/>
        <v>121250</v>
      </c>
      <c r="F24" s="349">
        <f t="shared" si="9"/>
        <v>0</v>
      </c>
      <c r="G24" s="349">
        <f t="shared" si="9"/>
        <v>0</v>
      </c>
      <c r="H24" s="351">
        <f t="shared" si="9"/>
        <v>121250</v>
      </c>
      <c r="I24" s="349">
        <f t="shared" si="9"/>
        <v>0</v>
      </c>
      <c r="J24" s="365">
        <f t="shared" si="1"/>
        <v>0</v>
      </c>
      <c r="K24" s="349">
        <f t="shared" si="2"/>
        <v>121250</v>
      </c>
      <c r="L24" s="349">
        <f>SUM(L25:L27)</f>
        <v>66175.87</v>
      </c>
      <c r="M24" s="366">
        <f t="shared" si="3"/>
        <v>0.5457803711340206</v>
      </c>
      <c r="N24" s="351">
        <f t="shared" si="4"/>
        <v>55074.130000000005</v>
      </c>
      <c r="O24" s="519" t="s">
        <v>870</v>
      </c>
    </row>
    <row r="25" spans="1:15" ht="25.5">
      <c r="A25" s="352" t="s">
        <v>697</v>
      </c>
      <c r="B25" s="360">
        <f>84800+5950+1500</f>
        <v>92250</v>
      </c>
      <c r="C25" s="361"/>
      <c r="D25" s="357">
        <v>-3500</v>
      </c>
      <c r="E25" s="360">
        <f>SUM(B25:D25)</f>
        <v>88750</v>
      </c>
      <c r="F25" s="357"/>
      <c r="G25" s="357"/>
      <c r="H25" s="360">
        <f>E25+F25+G25</f>
        <v>88750</v>
      </c>
      <c r="I25" s="357"/>
      <c r="J25" s="356">
        <f t="shared" si="1"/>
        <v>0</v>
      </c>
      <c r="K25" s="357">
        <f t="shared" si="2"/>
        <v>88750</v>
      </c>
      <c r="L25" s="357">
        <f>'[2]4'!CE208</f>
        <v>46547.68</v>
      </c>
      <c r="M25" s="358">
        <f t="shared" si="3"/>
        <v>0.5244809014084507</v>
      </c>
      <c r="N25" s="359">
        <f t="shared" si="4"/>
        <v>42202.32</v>
      </c>
      <c r="O25" s="514" t="s">
        <v>698</v>
      </c>
    </row>
    <row r="26" spans="1:15" ht="89.25">
      <c r="A26" s="352" t="s">
        <v>699</v>
      </c>
      <c r="B26" s="360">
        <v>11000</v>
      </c>
      <c r="C26" s="361"/>
      <c r="D26" s="357">
        <v>3000</v>
      </c>
      <c r="E26" s="360">
        <f>SUM(B26:D26)</f>
        <v>14000</v>
      </c>
      <c r="F26" s="357"/>
      <c r="G26" s="357"/>
      <c r="H26" s="360">
        <f>E26+F26+G26</f>
        <v>14000</v>
      </c>
      <c r="I26" s="357"/>
      <c r="J26" s="356"/>
      <c r="K26" s="357"/>
      <c r="L26" s="357">
        <f>'[2]4'!CG208+'[2]4'!CI208+'[2]4'!CK208</f>
        <v>9920</v>
      </c>
      <c r="M26" s="358"/>
      <c r="N26" s="359"/>
      <c r="O26" s="514" t="s">
        <v>700</v>
      </c>
    </row>
    <row r="27" spans="1:15" ht="38.25">
      <c r="A27" s="352" t="s">
        <v>701</v>
      </c>
      <c r="B27" s="360">
        <v>19000</v>
      </c>
      <c r="C27" s="361"/>
      <c r="D27" s="357">
        <v>-500</v>
      </c>
      <c r="E27" s="360">
        <f>SUM(B27:D27)</f>
        <v>18500</v>
      </c>
      <c r="F27" s="357"/>
      <c r="G27" s="357"/>
      <c r="H27" s="360">
        <f>E27+F27+G27</f>
        <v>18500</v>
      </c>
      <c r="I27" s="357"/>
      <c r="J27" s="356">
        <f aca="true" t="shared" si="10" ref="J27:J32">I27/E27</f>
        <v>0</v>
      </c>
      <c r="K27" s="357">
        <f aca="true" t="shared" si="11" ref="K27:K32">E27-I27</f>
        <v>18500</v>
      </c>
      <c r="L27" s="357">
        <f>'[2]4'!CM208</f>
        <v>9708.19</v>
      </c>
      <c r="M27" s="358">
        <f aca="true" t="shared" si="12" ref="M27:M33">L27/H27</f>
        <v>0.524767027027027</v>
      </c>
      <c r="N27" s="359">
        <f aca="true" t="shared" si="13" ref="N27:N32">H27-L27</f>
        <v>8791.81</v>
      </c>
      <c r="O27" s="520" t="s">
        <v>702</v>
      </c>
    </row>
    <row r="28" spans="1:15" ht="25.5">
      <c r="A28" s="363" t="s">
        <v>138</v>
      </c>
      <c r="B28" s="351">
        <v>2400</v>
      </c>
      <c r="C28" s="364"/>
      <c r="D28" s="349">
        <v>-100</v>
      </c>
      <c r="E28" s="351">
        <f>SUM(B28:D28)</f>
        <v>2300</v>
      </c>
      <c r="F28" s="349"/>
      <c r="G28" s="349"/>
      <c r="H28" s="351">
        <f>E28+F28+G28</f>
        <v>2300</v>
      </c>
      <c r="I28" s="349"/>
      <c r="J28" s="365">
        <f t="shared" si="10"/>
        <v>0</v>
      </c>
      <c r="K28" s="349">
        <f t="shared" si="11"/>
        <v>2300</v>
      </c>
      <c r="L28" s="349">
        <f>'[2]4'!CW208</f>
        <v>2293</v>
      </c>
      <c r="M28" s="366">
        <f t="shared" si="12"/>
        <v>0.9969565217391304</v>
      </c>
      <c r="N28" s="351">
        <f t="shared" si="13"/>
        <v>7</v>
      </c>
      <c r="O28" s="514" t="s">
        <v>139</v>
      </c>
    </row>
    <row r="29" spans="1:15" ht="12.75">
      <c r="A29" s="363" t="s">
        <v>140</v>
      </c>
      <c r="B29" s="351">
        <f aca="true" t="shared" si="14" ref="B29:I29">SUM(B30:B31)</f>
        <v>3500</v>
      </c>
      <c r="C29" s="364">
        <f t="shared" si="14"/>
        <v>-300</v>
      </c>
      <c r="D29" s="349">
        <f t="shared" si="14"/>
        <v>-200</v>
      </c>
      <c r="E29" s="351">
        <f t="shared" si="14"/>
        <v>3000</v>
      </c>
      <c r="F29" s="349">
        <f t="shared" si="14"/>
        <v>0</v>
      </c>
      <c r="G29" s="349">
        <f t="shared" si="14"/>
        <v>0</v>
      </c>
      <c r="H29" s="351">
        <f t="shared" si="14"/>
        <v>3000</v>
      </c>
      <c r="I29" s="349">
        <f t="shared" si="14"/>
        <v>0</v>
      </c>
      <c r="J29" s="365">
        <f t="shared" si="10"/>
        <v>0</v>
      </c>
      <c r="K29" s="349">
        <f t="shared" si="11"/>
        <v>3000</v>
      </c>
      <c r="L29" s="349">
        <f>SUM(L30:L31)</f>
        <v>1196.67</v>
      </c>
      <c r="M29" s="366">
        <f t="shared" si="12"/>
        <v>0.39889</v>
      </c>
      <c r="N29" s="351">
        <f t="shared" si="13"/>
        <v>1803.33</v>
      </c>
      <c r="O29" s="521" t="s">
        <v>870</v>
      </c>
    </row>
    <row r="30" spans="1:15" ht="12.75">
      <c r="A30" s="352" t="s">
        <v>141</v>
      </c>
      <c r="B30" s="360">
        <v>1000</v>
      </c>
      <c r="C30" s="361">
        <v>-300</v>
      </c>
      <c r="D30" s="357"/>
      <c r="E30" s="360">
        <f>SUM(B30:D30)</f>
        <v>700</v>
      </c>
      <c r="F30" s="357"/>
      <c r="G30" s="357"/>
      <c r="H30" s="360">
        <f>E30+F30+G30</f>
        <v>700</v>
      </c>
      <c r="I30" s="357"/>
      <c r="J30" s="356">
        <f t="shared" si="10"/>
        <v>0</v>
      </c>
      <c r="K30" s="357">
        <f t="shared" si="11"/>
        <v>700</v>
      </c>
      <c r="L30" s="357">
        <f>'[2]4'!DO208</f>
        <v>205.23</v>
      </c>
      <c r="M30" s="358">
        <f t="shared" si="12"/>
        <v>0.29318571428571427</v>
      </c>
      <c r="N30" s="359">
        <f t="shared" si="13"/>
        <v>494.77</v>
      </c>
      <c r="O30" s="514" t="s">
        <v>142</v>
      </c>
    </row>
    <row r="31" spans="1:15" ht="25.5">
      <c r="A31" s="352" t="s">
        <v>143</v>
      </c>
      <c r="B31" s="360">
        <v>2500</v>
      </c>
      <c r="C31" s="361"/>
      <c r="D31" s="357">
        <v>-200</v>
      </c>
      <c r="E31" s="360">
        <f>SUM(B31:D31)</f>
        <v>2300</v>
      </c>
      <c r="F31" s="357"/>
      <c r="G31" s="357"/>
      <c r="H31" s="360">
        <f>E31+F31+G31</f>
        <v>2300</v>
      </c>
      <c r="I31" s="357"/>
      <c r="J31" s="356">
        <f t="shared" si="10"/>
        <v>0</v>
      </c>
      <c r="K31" s="357">
        <f t="shared" si="11"/>
        <v>2300</v>
      </c>
      <c r="L31" s="357">
        <f>'[2]4'!DQ208</f>
        <v>991.44</v>
      </c>
      <c r="M31" s="358">
        <f t="shared" si="12"/>
        <v>0.43106086956521744</v>
      </c>
      <c r="N31" s="359">
        <f t="shared" si="13"/>
        <v>1308.56</v>
      </c>
      <c r="O31" s="514" t="s">
        <v>144</v>
      </c>
    </row>
    <row r="32" spans="1:15" ht="26.25" thickBot="1">
      <c r="A32" s="363" t="s">
        <v>145</v>
      </c>
      <c r="B32" s="351">
        <v>1200</v>
      </c>
      <c r="C32" s="364"/>
      <c r="D32" s="349">
        <v>-200</v>
      </c>
      <c r="E32" s="351">
        <f>SUM(B32:D32)</f>
        <v>1000</v>
      </c>
      <c r="F32" s="349"/>
      <c r="G32" s="349"/>
      <c r="H32" s="351">
        <f>E32+F32+G32</f>
        <v>1000</v>
      </c>
      <c r="I32" s="349"/>
      <c r="J32" s="365">
        <f t="shared" si="10"/>
        <v>0</v>
      </c>
      <c r="K32" s="349">
        <f t="shared" si="11"/>
        <v>1000</v>
      </c>
      <c r="L32" s="349">
        <f>'[2]4'!DU208</f>
        <v>985</v>
      </c>
      <c r="M32" s="366">
        <f t="shared" si="12"/>
        <v>0.985</v>
      </c>
      <c r="N32" s="522">
        <f t="shared" si="13"/>
        <v>15</v>
      </c>
      <c r="O32" s="514" t="s">
        <v>703</v>
      </c>
    </row>
    <row r="33" spans="1:15" s="257" customFormat="1" ht="16.5" thickBot="1">
      <c r="A33" s="523" t="s">
        <v>213</v>
      </c>
      <c r="B33" s="524">
        <f>B32+B29+B28+B24+B13+B12+B10+B5+B11</f>
        <v>224200</v>
      </c>
      <c r="C33" s="524">
        <f>C32+C29+C28+C24+C13+C12+C10+C5+C11</f>
        <v>-7000</v>
      </c>
      <c r="D33" s="524">
        <f>D32+D29+D28+D24+D13+D12+D10+D5+D11</f>
        <v>-21500</v>
      </c>
      <c r="E33" s="524">
        <f>E32+E29+E28+E24+E13+E12+E10+E5+E11</f>
        <v>195700</v>
      </c>
      <c r="F33" s="524">
        <f aca="true" t="shared" si="15" ref="F33:L33">F32+F29+F28+F24+F13+F12+F10+F5+F11</f>
        <v>0</v>
      </c>
      <c r="G33" s="524">
        <f t="shared" si="15"/>
        <v>0</v>
      </c>
      <c r="H33" s="524">
        <f t="shared" si="15"/>
        <v>195700</v>
      </c>
      <c r="I33" s="524">
        <f t="shared" si="15"/>
        <v>0</v>
      </c>
      <c r="J33" s="524">
        <f t="shared" si="15"/>
        <v>0</v>
      </c>
      <c r="K33" s="524">
        <f t="shared" si="15"/>
        <v>195700</v>
      </c>
      <c r="L33" s="524">
        <f t="shared" si="15"/>
        <v>107089.76</v>
      </c>
      <c r="M33" s="525">
        <f t="shared" si="12"/>
        <v>0.5472138988247317</v>
      </c>
      <c r="N33" s="526">
        <f>N32+N29+N28+N24+N13+N12+N10+N5</f>
        <v>87910.24</v>
      </c>
      <c r="O33" s="527" t="s">
        <v>870</v>
      </c>
    </row>
    <row r="34" spans="1:14" ht="19.5" thickBot="1">
      <c r="A34" s="528"/>
      <c r="B34" s="529"/>
      <c r="C34" s="368"/>
      <c r="D34" s="368"/>
      <c r="E34" s="368"/>
      <c r="F34" s="369"/>
      <c r="G34" s="369"/>
      <c r="H34" s="369"/>
      <c r="I34" s="369"/>
      <c r="J34" s="370"/>
      <c r="K34" s="245"/>
      <c r="L34" s="369"/>
      <c r="M34" s="371"/>
      <c r="N34" s="245"/>
    </row>
    <row r="35" spans="1:15" ht="24.75" customHeight="1" thickBot="1">
      <c r="A35" s="689" t="s">
        <v>214</v>
      </c>
      <c r="B35" s="675" t="s">
        <v>17</v>
      </c>
      <c r="C35" s="691" t="str">
        <f>C3</f>
        <v>Korekta 1                                 z dnia 7.11.2005 r.</v>
      </c>
      <c r="D35" s="683" t="str">
        <f>D3</f>
        <v>Korekta 2                       z dnia 20.12.2005 r.</v>
      </c>
      <c r="E35" s="683" t="str">
        <f>E3</f>
        <v>Plan na 2006 rok po zmianach</v>
      </c>
      <c r="F35" s="530" t="str">
        <f>F3</f>
        <v>Zmiana nr 1</v>
      </c>
      <c r="G35" s="531"/>
      <c r="H35" s="683" t="str">
        <f>H3</f>
        <v>Plan po zmianach</v>
      </c>
      <c r="I35" s="683" t="str">
        <f>I3</f>
        <v>Wykonanie planu na dzień 31.03.2006 r.</v>
      </c>
      <c r="J35" s="693" t="str">
        <f>J3</f>
        <v>% wykonania planu</v>
      </c>
      <c r="K35" s="699" t="s">
        <v>102</v>
      </c>
      <c r="L35" s="683" t="str">
        <f>L3</f>
        <v>Wykonanie planu na dzień 30.06.2006 r.</v>
      </c>
      <c r="M35" s="693" t="str">
        <f>M3</f>
        <v>% wykonania planu na dzień 30.06.2006r.</v>
      </c>
      <c r="N35" s="701" t="s">
        <v>103</v>
      </c>
      <c r="O35" s="695" t="str">
        <f>O3</f>
        <v>Opis</v>
      </c>
    </row>
    <row r="36" spans="1:15" s="533" customFormat="1" ht="13.5" thickBot="1">
      <c r="A36" s="690"/>
      <c r="B36" s="676"/>
      <c r="C36" s="692"/>
      <c r="D36" s="684"/>
      <c r="E36" s="684"/>
      <c r="F36" s="510">
        <f>F4</f>
        <v>0</v>
      </c>
      <c r="G36" s="532"/>
      <c r="H36" s="684"/>
      <c r="I36" s="684"/>
      <c r="J36" s="694"/>
      <c r="K36" s="700"/>
      <c r="L36" s="684"/>
      <c r="M36" s="694"/>
      <c r="N36" s="702"/>
      <c r="O36" s="696"/>
    </row>
    <row r="37" spans="1:15" ht="12.75">
      <c r="A37" s="372" t="s">
        <v>215</v>
      </c>
      <c r="B37" s="373">
        <f>B33-B38</f>
        <v>207000</v>
      </c>
      <c r="C37" s="374">
        <v>-11000</v>
      </c>
      <c r="D37" s="373">
        <v>-21500</v>
      </c>
      <c r="E37" s="373">
        <f>SUM(B37:D37)</f>
        <v>174500</v>
      </c>
      <c r="F37" s="375"/>
      <c r="G37" s="375"/>
      <c r="H37" s="375">
        <f>E37+F37+G37</f>
        <v>174500</v>
      </c>
      <c r="I37" s="375"/>
      <c r="J37" s="376">
        <f aca="true" t="shared" si="16" ref="J37:J42">I37/E37</f>
        <v>0</v>
      </c>
      <c r="K37" s="375">
        <f aca="true" t="shared" si="17" ref="K37:K42">E37-I37</f>
        <v>174500</v>
      </c>
      <c r="L37" s="375">
        <f>'[2]KS'!AV177</f>
        <v>99700</v>
      </c>
      <c r="M37" s="377">
        <f aca="true" t="shared" si="18" ref="M37:M42">L37/H37</f>
        <v>0.5713467048710602</v>
      </c>
      <c r="N37" s="534">
        <f aca="true" t="shared" si="19" ref="N37:N42">K37-L37</f>
        <v>74800</v>
      </c>
      <c r="O37" s="535" t="s">
        <v>870</v>
      </c>
    </row>
    <row r="38" spans="1:15" ht="12.75">
      <c r="A38" s="378" t="s">
        <v>704</v>
      </c>
      <c r="B38" s="379">
        <f aca="true" t="shared" si="20" ref="B38:I38">SUM(B39:B41)</f>
        <v>17200</v>
      </c>
      <c r="C38" s="536">
        <f t="shared" si="20"/>
        <v>4000</v>
      </c>
      <c r="D38" s="379">
        <f t="shared" si="20"/>
        <v>0</v>
      </c>
      <c r="E38" s="379">
        <f t="shared" si="20"/>
        <v>21200</v>
      </c>
      <c r="F38" s="379">
        <f t="shared" si="20"/>
        <v>0</v>
      </c>
      <c r="G38" s="379">
        <f t="shared" si="20"/>
        <v>0</v>
      </c>
      <c r="H38" s="379">
        <f t="shared" si="20"/>
        <v>21200</v>
      </c>
      <c r="I38" s="379">
        <f t="shared" si="20"/>
        <v>0</v>
      </c>
      <c r="J38" s="376">
        <f t="shared" si="16"/>
        <v>0</v>
      </c>
      <c r="K38" s="379">
        <f t="shared" si="17"/>
        <v>21200</v>
      </c>
      <c r="L38" s="379">
        <f>SUM(L39:L41)</f>
        <v>9165.85</v>
      </c>
      <c r="M38" s="376">
        <f t="shared" si="18"/>
        <v>0.43235141509433966</v>
      </c>
      <c r="N38" s="537">
        <f t="shared" si="19"/>
        <v>12034.15</v>
      </c>
      <c r="O38" s="516" t="s">
        <v>870</v>
      </c>
    </row>
    <row r="39" spans="1:15" ht="25.5">
      <c r="A39" s="380" t="s">
        <v>217</v>
      </c>
      <c r="B39" s="360">
        <v>1495</v>
      </c>
      <c r="C39" s="361"/>
      <c r="D39" s="381"/>
      <c r="E39" s="360">
        <f>SUM(B39:D39)</f>
        <v>1495</v>
      </c>
      <c r="F39" s="381"/>
      <c r="G39" s="381"/>
      <c r="H39" s="381">
        <f>E39+F39+G39</f>
        <v>1495</v>
      </c>
      <c r="I39" s="381"/>
      <c r="J39" s="382">
        <f t="shared" si="16"/>
        <v>0</v>
      </c>
      <c r="K39" s="360">
        <f t="shared" si="17"/>
        <v>1495</v>
      </c>
      <c r="L39" s="381">
        <f>'[2]KS'!AN177</f>
        <v>385</v>
      </c>
      <c r="M39" s="383">
        <f t="shared" si="18"/>
        <v>0.25752508361204013</v>
      </c>
      <c r="N39" s="538">
        <f t="shared" si="19"/>
        <v>1110</v>
      </c>
      <c r="O39" s="514" t="s">
        <v>705</v>
      </c>
    </row>
    <row r="40" spans="1:15" ht="12.75">
      <c r="A40" s="380" t="s">
        <v>130</v>
      </c>
      <c r="B40" s="360">
        <v>15700</v>
      </c>
      <c r="C40" s="361">
        <v>4000</v>
      </c>
      <c r="D40" s="381"/>
      <c r="E40" s="360">
        <f>SUM(B40:D40)</f>
        <v>19700</v>
      </c>
      <c r="F40" s="381"/>
      <c r="G40" s="381"/>
      <c r="H40" s="381">
        <f>E40+F40+G40</f>
        <v>19700</v>
      </c>
      <c r="I40" s="381"/>
      <c r="J40" s="382">
        <f t="shared" si="16"/>
        <v>0</v>
      </c>
      <c r="K40" s="360">
        <f t="shared" si="17"/>
        <v>19700</v>
      </c>
      <c r="L40" s="381">
        <f>'[2]KS'!AP177</f>
        <v>8780</v>
      </c>
      <c r="M40" s="383">
        <f t="shared" si="18"/>
        <v>0.44568527918781725</v>
      </c>
      <c r="N40" s="538">
        <f t="shared" si="19"/>
        <v>10920</v>
      </c>
      <c r="O40" s="514" t="s">
        <v>131</v>
      </c>
    </row>
    <row r="41" spans="1:15" ht="26.25" thickBot="1">
      <c r="A41" s="539" t="s">
        <v>132</v>
      </c>
      <c r="B41" s="384">
        <v>5</v>
      </c>
      <c r="C41" s="361"/>
      <c r="D41" s="381"/>
      <c r="E41" s="360">
        <f>SUM(B41:D41)</f>
        <v>5</v>
      </c>
      <c r="F41" s="381"/>
      <c r="G41" s="381"/>
      <c r="H41" s="381">
        <f>E41+F41+G41</f>
        <v>5</v>
      </c>
      <c r="I41" s="381"/>
      <c r="J41" s="382">
        <f t="shared" si="16"/>
        <v>0</v>
      </c>
      <c r="K41" s="384">
        <f t="shared" si="17"/>
        <v>5</v>
      </c>
      <c r="L41" s="381">
        <f>'[2]KS'!AR177</f>
        <v>0.85</v>
      </c>
      <c r="M41" s="383">
        <f t="shared" si="18"/>
        <v>0.16999999999999998</v>
      </c>
      <c r="N41" s="540">
        <f t="shared" si="19"/>
        <v>4.15</v>
      </c>
      <c r="O41" s="514" t="s">
        <v>706</v>
      </c>
    </row>
    <row r="42" spans="1:15" s="257" customFormat="1" ht="16.5" thickBot="1">
      <c r="A42" s="541" t="s">
        <v>133</v>
      </c>
      <c r="B42" s="542">
        <f aca="true" t="shared" si="21" ref="B42:I42">B37+B38</f>
        <v>224200</v>
      </c>
      <c r="C42" s="543">
        <f t="shared" si="21"/>
        <v>-7000</v>
      </c>
      <c r="D42" s="543">
        <f t="shared" si="21"/>
        <v>-21500</v>
      </c>
      <c r="E42" s="542">
        <f>B42+C42+D42</f>
        <v>195700</v>
      </c>
      <c r="F42" s="542">
        <f t="shared" si="21"/>
        <v>0</v>
      </c>
      <c r="G42" s="542">
        <f t="shared" si="21"/>
        <v>0</v>
      </c>
      <c r="H42" s="542">
        <f t="shared" si="21"/>
        <v>195700</v>
      </c>
      <c r="I42" s="542">
        <f t="shared" si="21"/>
        <v>0</v>
      </c>
      <c r="J42" s="544">
        <f t="shared" si="16"/>
        <v>0</v>
      </c>
      <c r="K42" s="545">
        <f t="shared" si="17"/>
        <v>195700</v>
      </c>
      <c r="L42" s="542">
        <f>L37+L38</f>
        <v>108865.85</v>
      </c>
      <c r="M42" s="544">
        <f t="shared" si="18"/>
        <v>0.5562894736842106</v>
      </c>
      <c r="N42" s="337">
        <f t="shared" si="19"/>
        <v>86834.15</v>
      </c>
      <c r="O42" s="546" t="s">
        <v>870</v>
      </c>
    </row>
    <row r="44" spans="1:5" ht="12.75" customHeight="1">
      <c r="A44" s="215"/>
      <c r="B44" s="340"/>
      <c r="C44" s="340"/>
      <c r="D44" s="340"/>
      <c r="E44" s="547"/>
    </row>
    <row r="45" spans="1:13" ht="18" customHeight="1">
      <c r="A45" s="245"/>
      <c r="E45" s="335"/>
      <c r="F45" s="246"/>
      <c r="H45" s="335"/>
      <c r="I45" s="246"/>
      <c r="J45" s="246"/>
      <c r="L45" s="246"/>
      <c r="M45" s="246"/>
    </row>
    <row r="46" spans="1:13" ht="18" customHeight="1">
      <c r="A46" s="245"/>
      <c r="E46" s="335"/>
      <c r="F46" s="246"/>
      <c r="H46" s="335"/>
      <c r="I46" s="246"/>
      <c r="J46" s="246"/>
      <c r="L46" s="246"/>
      <c r="M46" s="246"/>
    </row>
    <row r="47" spans="1:13" ht="18" customHeight="1">
      <c r="A47" s="245"/>
      <c r="E47" s="335"/>
      <c r="F47" s="246"/>
      <c r="H47" s="335"/>
      <c r="I47" s="246"/>
      <c r="J47" s="246"/>
      <c r="L47" s="246"/>
      <c r="M47" s="246"/>
    </row>
    <row r="48" spans="1:13" ht="18" customHeight="1">
      <c r="A48" s="339"/>
      <c r="B48" s="339"/>
      <c r="C48" s="339"/>
      <c r="D48" s="339"/>
      <c r="E48" s="335"/>
      <c r="F48" s="246"/>
      <c r="G48" s="339"/>
      <c r="H48" s="335"/>
      <c r="I48" s="246"/>
      <c r="J48" s="246"/>
      <c r="L48" s="246"/>
      <c r="M48" s="246"/>
    </row>
    <row r="49" spans="1:13" ht="18" customHeight="1">
      <c r="A49" s="340"/>
      <c r="B49" s="340"/>
      <c r="C49" s="340"/>
      <c r="D49" s="340"/>
      <c r="E49" s="335"/>
      <c r="F49" s="246"/>
      <c r="G49" s="340"/>
      <c r="H49" s="335"/>
      <c r="I49" s="246"/>
      <c r="J49" s="246"/>
      <c r="L49" s="246"/>
      <c r="M49" s="246"/>
    </row>
    <row r="50" spans="1:13" ht="23.25" customHeight="1">
      <c r="A50" s="245"/>
      <c r="E50" s="335"/>
      <c r="F50" s="246"/>
      <c r="H50" s="335"/>
      <c r="I50" s="246"/>
      <c r="J50" s="246"/>
      <c r="L50" s="246"/>
      <c r="M50" s="246"/>
    </row>
    <row r="51" spans="1:13" ht="21.75" customHeight="1">
      <c r="A51" s="245"/>
      <c r="E51" s="335"/>
      <c r="F51" s="246"/>
      <c r="H51" s="335"/>
      <c r="I51" s="246"/>
      <c r="J51" s="246"/>
      <c r="L51" s="246"/>
      <c r="M51" s="246"/>
    </row>
    <row r="52" spans="1:13" ht="48.75" customHeight="1">
      <c r="A52" s="245"/>
      <c r="E52" s="335"/>
      <c r="F52" s="246"/>
      <c r="H52" s="335"/>
      <c r="I52" s="246"/>
      <c r="J52" s="246"/>
      <c r="L52" s="246"/>
      <c r="M52" s="246"/>
    </row>
    <row r="53" spans="1:13" ht="34.5" customHeight="1">
      <c r="A53" s="245"/>
      <c r="E53" s="335"/>
      <c r="F53" s="246"/>
      <c r="H53" s="335"/>
      <c r="I53" s="246"/>
      <c r="J53" s="246"/>
      <c r="L53" s="246"/>
      <c r="M53" s="246"/>
    </row>
    <row r="54" spans="1:13" ht="18" customHeight="1">
      <c r="A54" s="245"/>
      <c r="E54" s="335"/>
      <c r="F54" s="246"/>
      <c r="H54" s="335"/>
      <c r="I54" s="246"/>
      <c r="J54" s="246"/>
      <c r="L54" s="246"/>
      <c r="M54" s="246"/>
    </row>
    <row r="55" spans="1:13" ht="18" customHeight="1">
      <c r="A55" s="245"/>
      <c r="E55" s="335"/>
      <c r="F55" s="246"/>
      <c r="H55" s="335"/>
      <c r="I55" s="246"/>
      <c r="J55" s="246"/>
      <c r="L55" s="246"/>
      <c r="M55" s="246"/>
    </row>
    <row r="56" spans="1:13" ht="18" customHeight="1">
      <c r="A56" s="245"/>
      <c r="E56" s="335"/>
      <c r="F56" s="246"/>
      <c r="H56" s="335"/>
      <c r="I56" s="246"/>
      <c r="J56" s="246"/>
      <c r="L56" s="246"/>
      <c r="M56" s="246"/>
    </row>
    <row r="57" spans="1:13" ht="18" customHeight="1">
      <c r="A57" s="245"/>
      <c r="E57" s="335"/>
      <c r="F57" s="246"/>
      <c r="H57" s="335"/>
      <c r="I57" s="246"/>
      <c r="J57" s="246"/>
      <c r="L57" s="246"/>
      <c r="M57" s="246"/>
    </row>
    <row r="58" spans="1:13" ht="18" customHeight="1">
      <c r="A58" s="245"/>
      <c r="E58" s="335"/>
      <c r="F58" s="246"/>
      <c r="H58" s="335"/>
      <c r="I58" s="246"/>
      <c r="J58" s="246"/>
      <c r="L58" s="246"/>
      <c r="M58" s="246"/>
    </row>
    <row r="59" spans="1:13" ht="18" customHeight="1">
      <c r="A59" s="245"/>
      <c r="E59" s="335"/>
      <c r="F59" s="246"/>
      <c r="H59" s="335"/>
      <c r="I59" s="246"/>
      <c r="J59" s="246"/>
      <c r="L59" s="246"/>
      <c r="M59" s="246"/>
    </row>
    <row r="60" spans="1:13" ht="18" customHeight="1">
      <c r="A60" s="245"/>
      <c r="E60" s="335"/>
      <c r="F60" s="246"/>
      <c r="H60" s="335"/>
      <c r="I60" s="246"/>
      <c r="J60" s="246"/>
      <c r="L60" s="246"/>
      <c r="M60" s="246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</sheetData>
  <mergeCells count="26">
    <mergeCell ref="O35:O36"/>
    <mergeCell ref="M3:M4"/>
    <mergeCell ref="K35:K36"/>
    <mergeCell ref="L35:L36"/>
    <mergeCell ref="M35:M36"/>
    <mergeCell ref="N35:N36"/>
    <mergeCell ref="N3:N4"/>
    <mergeCell ref="O3:O4"/>
    <mergeCell ref="E35:E36"/>
    <mergeCell ref="H35:H36"/>
    <mergeCell ref="I35:I36"/>
    <mergeCell ref="J35:J36"/>
    <mergeCell ref="A35:A36"/>
    <mergeCell ref="B35:B36"/>
    <mergeCell ref="C35:C36"/>
    <mergeCell ref="D35:D36"/>
    <mergeCell ref="A2:O2"/>
    <mergeCell ref="A3:A4"/>
    <mergeCell ref="B3:B4"/>
    <mergeCell ref="C3:C4"/>
    <mergeCell ref="D3:D4"/>
    <mergeCell ref="E3:E4"/>
    <mergeCell ref="H3:H4"/>
    <mergeCell ref="I3:I4"/>
    <mergeCell ref="K3:K4"/>
    <mergeCell ref="L3:L4"/>
  </mergeCells>
  <printOptions horizontalCentered="1"/>
  <pageMargins left="0.11811023622047245" right="0.11811023622047245" top="0.17" bottom="0.47" header="0.16" footer="0.4724409448818898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4055"/>
  <sheetViews>
    <sheetView zoomScale="150" zoomScaleNormal="150" workbookViewId="0" topLeftCell="A1">
      <pane ySplit="6" topLeftCell="BM53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4.140625" style="3" customWidth="1"/>
    <col min="2" max="2" width="6.57421875" style="3" customWidth="1"/>
    <col min="3" max="3" width="4.8515625" style="3" customWidth="1"/>
    <col min="4" max="4" width="37.7109375" style="3" customWidth="1"/>
    <col min="5" max="5" width="17.421875" style="11" hidden="1" customWidth="1"/>
    <col min="6" max="6" width="18.00390625" style="12" hidden="1" customWidth="1"/>
    <col min="7" max="7" width="15.421875" style="13" hidden="1" customWidth="1"/>
    <col min="8" max="8" width="40.00390625" style="3" hidden="1" customWidth="1"/>
    <col min="9" max="9" width="14.00390625" style="12" hidden="1" customWidth="1"/>
    <col min="10" max="10" width="13.7109375" style="12" hidden="1" customWidth="1"/>
    <col min="11" max="11" width="12.28125" style="13" hidden="1" customWidth="1"/>
    <col min="12" max="12" width="14.140625" style="13" hidden="1" customWidth="1"/>
    <col min="13" max="13" width="12.57421875" style="13" hidden="1" customWidth="1"/>
    <col min="14" max="15" width="17.28125" style="13" hidden="1" customWidth="1"/>
    <col min="16" max="16" width="16.140625" style="112" customWidth="1"/>
    <col min="17" max="17" width="12.00390625" style="12" hidden="1" customWidth="1"/>
    <col min="18" max="18" width="13.140625" style="12" hidden="1" customWidth="1"/>
    <col min="19" max="19" width="13.7109375" style="12" hidden="1" customWidth="1"/>
    <col min="20" max="20" width="14.28125" style="12" hidden="1" customWidth="1"/>
    <col min="21" max="21" width="15.00390625" style="12" hidden="1" customWidth="1"/>
    <col min="22" max="22" width="14.00390625" style="12" hidden="1" customWidth="1"/>
    <col min="23" max="23" width="13.00390625" style="12" hidden="1" customWidth="1"/>
    <col min="24" max="24" width="12.8515625" style="12" hidden="1" customWidth="1"/>
    <col min="25" max="26" width="6.421875" style="12" hidden="1" customWidth="1"/>
    <col min="27" max="27" width="0.13671875" style="12" hidden="1" customWidth="1"/>
    <col min="28" max="28" width="0.2890625" style="12" hidden="1" customWidth="1"/>
    <col min="29" max="29" width="16.140625" style="3" customWidth="1"/>
    <col min="30" max="30" width="8.421875" style="3" customWidth="1"/>
    <col min="31" max="31" width="27.8515625" style="3" customWidth="1"/>
    <col min="32" max="16384" width="9.140625" style="3" customWidth="1"/>
  </cols>
  <sheetData>
    <row r="1" spans="1:31" ht="25.5">
      <c r="A1" s="1" t="s">
        <v>269</v>
      </c>
      <c r="B1" s="2"/>
      <c r="C1" s="2"/>
      <c r="E1" s="4"/>
      <c r="F1" s="6"/>
      <c r="G1" s="7"/>
      <c r="H1" s="75" t="s">
        <v>270</v>
      </c>
      <c r="I1" s="6"/>
      <c r="J1" s="6"/>
      <c r="K1" s="7"/>
      <c r="L1" s="7"/>
      <c r="M1" s="7"/>
      <c r="N1" s="7"/>
      <c r="O1" s="7"/>
      <c r="P1" s="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9"/>
      <c r="AD1" s="9"/>
      <c r="AE1" s="9" t="s">
        <v>1127</v>
      </c>
    </row>
    <row r="2" spans="1:16" ht="13.5" thickBot="1">
      <c r="A2" s="10"/>
      <c r="B2" s="2"/>
      <c r="C2" s="2"/>
      <c r="P2" s="8"/>
    </row>
    <row r="3" spans="1:31" s="14" customFormat="1" ht="30" customHeight="1">
      <c r="A3" s="586" t="s">
        <v>1061</v>
      </c>
      <c r="B3" s="586" t="s">
        <v>1062</v>
      </c>
      <c r="C3" s="586" t="s">
        <v>1063</v>
      </c>
      <c r="D3" s="586" t="s">
        <v>1064</v>
      </c>
      <c r="E3" s="565" t="s">
        <v>271</v>
      </c>
      <c r="F3" s="586" t="s">
        <v>271</v>
      </c>
      <c r="G3" s="567" t="s">
        <v>271</v>
      </c>
      <c r="H3" s="586"/>
      <c r="I3" s="586" t="s">
        <v>271</v>
      </c>
      <c r="J3" s="417" t="s">
        <v>565</v>
      </c>
      <c r="K3" s="418"/>
      <c r="L3" s="418"/>
      <c r="M3" s="419"/>
      <c r="N3" s="418"/>
      <c r="O3" s="418"/>
      <c r="P3" s="573" t="s">
        <v>200</v>
      </c>
      <c r="Q3" s="586" t="s">
        <v>201</v>
      </c>
      <c r="R3" s="586" t="s">
        <v>202</v>
      </c>
      <c r="S3" s="586" t="s">
        <v>203</v>
      </c>
      <c r="T3" s="586" t="s">
        <v>204</v>
      </c>
      <c r="U3" s="586" t="s">
        <v>205</v>
      </c>
      <c r="V3" s="586" t="s">
        <v>206</v>
      </c>
      <c r="W3" s="586" t="s">
        <v>207</v>
      </c>
      <c r="X3" s="586" t="s">
        <v>208</v>
      </c>
      <c r="Y3" s="586" t="s">
        <v>209</v>
      </c>
      <c r="Z3" s="586" t="s">
        <v>210</v>
      </c>
      <c r="AA3" s="586" t="s">
        <v>211</v>
      </c>
      <c r="AB3" s="586" t="s">
        <v>307</v>
      </c>
      <c r="AC3" s="588" t="s">
        <v>566</v>
      </c>
      <c r="AD3" s="588" t="s">
        <v>308</v>
      </c>
      <c r="AE3" s="584" t="s">
        <v>193</v>
      </c>
    </row>
    <row r="4" spans="1:31" s="15" customFormat="1" ht="52.5" customHeight="1" thickBot="1">
      <c r="A4" s="575"/>
      <c r="B4" s="575"/>
      <c r="C4" s="575"/>
      <c r="D4" s="575"/>
      <c r="E4" s="566"/>
      <c r="F4" s="575"/>
      <c r="G4" s="568"/>
      <c r="H4" s="575"/>
      <c r="I4" s="575"/>
      <c r="J4" s="410" t="s">
        <v>567</v>
      </c>
      <c r="K4" s="410" t="s">
        <v>568</v>
      </c>
      <c r="L4" s="410" t="s">
        <v>569</v>
      </c>
      <c r="M4" s="410" t="s">
        <v>570</v>
      </c>
      <c r="N4" s="420" t="s">
        <v>272</v>
      </c>
      <c r="O4" s="420" t="s">
        <v>272</v>
      </c>
      <c r="P4" s="574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9"/>
      <c r="AD4" s="570"/>
      <c r="AE4" s="585"/>
    </row>
    <row r="5" spans="1:31" s="426" customFormat="1" ht="16.5" customHeight="1">
      <c r="A5" s="421"/>
      <c r="B5" s="421"/>
      <c r="C5" s="421"/>
      <c r="D5" s="421"/>
      <c r="E5" s="422"/>
      <c r="F5" s="423"/>
      <c r="G5" s="424"/>
      <c r="H5" s="421"/>
      <c r="I5" s="423"/>
      <c r="J5" s="424"/>
      <c r="K5" s="424"/>
      <c r="L5" s="424"/>
      <c r="M5" s="425"/>
      <c r="N5" s="424" t="s">
        <v>466</v>
      </c>
      <c r="O5" s="424"/>
      <c r="P5" s="438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8"/>
      <c r="AD5" s="437"/>
      <c r="AE5" s="437"/>
    </row>
    <row r="6" spans="1:31" s="8" customFormat="1" ht="16.5" customHeight="1">
      <c r="A6" s="16" t="s">
        <v>309</v>
      </c>
      <c r="B6" s="17"/>
      <c r="C6" s="17"/>
      <c r="D6" s="18" t="s">
        <v>310</v>
      </c>
      <c r="E6" s="427">
        <f aca="true" t="shared" si="0" ref="E6:O7">E7</f>
        <v>17000</v>
      </c>
      <c r="F6" s="428">
        <f t="shared" si="0"/>
        <v>17000</v>
      </c>
      <c r="G6" s="429">
        <f t="shared" si="0"/>
        <v>0</v>
      </c>
      <c r="H6" s="430"/>
      <c r="I6" s="428">
        <f t="shared" si="0"/>
        <v>0</v>
      </c>
      <c r="J6" s="429">
        <f t="shared" si="0"/>
        <v>0</v>
      </c>
      <c r="K6" s="429">
        <f t="shared" si="0"/>
        <v>0</v>
      </c>
      <c r="L6" s="429">
        <f t="shared" si="0"/>
        <v>0</v>
      </c>
      <c r="M6" s="429">
        <f t="shared" si="0"/>
        <v>200000</v>
      </c>
      <c r="N6" s="429">
        <f t="shared" si="0"/>
        <v>0</v>
      </c>
      <c r="O6" s="429">
        <f t="shared" si="0"/>
        <v>0</v>
      </c>
      <c r="P6" s="428">
        <f>P7</f>
        <v>200000</v>
      </c>
      <c r="Q6" s="428"/>
      <c r="R6" s="434"/>
      <c r="S6" s="434"/>
      <c r="T6" s="434"/>
      <c r="U6" s="428">
        <f aca="true" t="shared" si="1" ref="U6:W7">U7</f>
        <v>0</v>
      </c>
      <c r="V6" s="428">
        <f t="shared" si="1"/>
        <v>0</v>
      </c>
      <c r="W6" s="428">
        <f t="shared" si="1"/>
        <v>0</v>
      </c>
      <c r="X6" s="434"/>
      <c r="Y6" s="434"/>
      <c r="Z6" s="434"/>
      <c r="AA6" s="434"/>
      <c r="AB6" s="434"/>
      <c r="AC6" s="428">
        <f>AC7</f>
        <v>0</v>
      </c>
      <c r="AD6" s="20">
        <f aca="true" t="shared" si="2" ref="AD6:AD69">AC6*100/P6</f>
        <v>0</v>
      </c>
      <c r="AE6" s="20"/>
    </row>
    <row r="7" spans="1:31" s="8" customFormat="1" ht="22.5" customHeight="1">
      <c r="A7" s="43"/>
      <c r="B7" s="22" t="s">
        <v>311</v>
      </c>
      <c r="C7" s="23"/>
      <c r="D7" s="24" t="s">
        <v>312</v>
      </c>
      <c r="E7" s="431">
        <f t="shared" si="0"/>
        <v>17000</v>
      </c>
      <c r="F7" s="27">
        <f t="shared" si="0"/>
        <v>17000</v>
      </c>
      <c r="G7" s="25">
        <f t="shared" si="0"/>
        <v>0</v>
      </c>
      <c r="H7" s="571" t="s">
        <v>273</v>
      </c>
      <c r="I7" s="27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200000</v>
      </c>
      <c r="N7" s="25">
        <f t="shared" si="0"/>
        <v>0</v>
      </c>
      <c r="O7" s="25">
        <f t="shared" si="0"/>
        <v>0</v>
      </c>
      <c r="P7" s="26">
        <f>P8</f>
        <v>200000</v>
      </c>
      <c r="Q7" s="27"/>
      <c r="R7" s="28"/>
      <c r="S7" s="28"/>
      <c r="T7" s="28"/>
      <c r="U7" s="27">
        <f t="shared" si="1"/>
        <v>0</v>
      </c>
      <c r="V7" s="27">
        <f t="shared" si="1"/>
        <v>0</v>
      </c>
      <c r="W7" s="27">
        <f t="shared" si="1"/>
        <v>0</v>
      </c>
      <c r="X7" s="28"/>
      <c r="Y7" s="28"/>
      <c r="Z7" s="28"/>
      <c r="AA7" s="28"/>
      <c r="AB7" s="28"/>
      <c r="AC7" s="27">
        <f>AC8</f>
        <v>0</v>
      </c>
      <c r="AD7" s="29">
        <f t="shared" si="2"/>
        <v>0</v>
      </c>
      <c r="AE7" s="582" t="s">
        <v>194</v>
      </c>
    </row>
    <row r="8" spans="1:31" s="8" customFormat="1" ht="42" customHeight="1">
      <c r="A8" s="21"/>
      <c r="B8" s="30"/>
      <c r="C8" s="31">
        <v>6290</v>
      </c>
      <c r="D8" s="32" t="s">
        <v>313</v>
      </c>
      <c r="E8" s="432">
        <v>17000</v>
      </c>
      <c r="F8" s="281">
        <v>17000</v>
      </c>
      <c r="G8" s="433"/>
      <c r="H8" s="572"/>
      <c r="I8" s="281"/>
      <c r="J8" s="433"/>
      <c r="K8" s="433"/>
      <c r="L8" s="433"/>
      <c r="M8" s="433">
        <v>200000</v>
      </c>
      <c r="N8" s="433"/>
      <c r="O8" s="433"/>
      <c r="P8" s="33">
        <f>I8+J8+K8+L8+M8+N8+O8</f>
        <v>200000</v>
      </c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4">
        <f>SUM(Q8:AB8)</f>
        <v>0</v>
      </c>
      <c r="AD8" s="35">
        <f t="shared" si="2"/>
        <v>0</v>
      </c>
      <c r="AE8" s="583"/>
    </row>
    <row r="9" spans="1:31" s="42" customFormat="1" ht="12.75">
      <c r="A9" s="36" t="s">
        <v>314</v>
      </c>
      <c r="B9" s="37"/>
      <c r="C9" s="37"/>
      <c r="D9" s="38" t="s">
        <v>315</v>
      </c>
      <c r="E9" s="39">
        <f aca="true" t="shared" si="3" ref="E9:AC10">SUM(E10)</f>
        <v>4500</v>
      </c>
      <c r="F9" s="40">
        <f t="shared" si="3"/>
        <v>4500</v>
      </c>
      <c r="G9" s="41">
        <f t="shared" si="3"/>
        <v>4500</v>
      </c>
      <c r="H9" s="20"/>
      <c r="I9" s="40">
        <f t="shared" si="3"/>
        <v>4500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3"/>
        <v>0</v>
      </c>
      <c r="O9" s="41">
        <f t="shared" si="3"/>
        <v>0</v>
      </c>
      <c r="P9" s="40">
        <f t="shared" si="3"/>
        <v>4500</v>
      </c>
      <c r="Q9" s="40">
        <f t="shared" si="3"/>
        <v>0</v>
      </c>
      <c r="R9" s="40">
        <f t="shared" si="3"/>
        <v>0</v>
      </c>
      <c r="S9" s="40">
        <f t="shared" si="3"/>
        <v>0</v>
      </c>
      <c r="T9" s="40">
        <f t="shared" si="3"/>
        <v>0</v>
      </c>
      <c r="U9" s="40">
        <f t="shared" si="3"/>
        <v>0</v>
      </c>
      <c r="V9" s="40">
        <f t="shared" si="3"/>
        <v>0</v>
      </c>
      <c r="W9" s="40">
        <f t="shared" si="3"/>
        <v>0</v>
      </c>
      <c r="X9" s="40">
        <f t="shared" si="3"/>
        <v>0</v>
      </c>
      <c r="Y9" s="40">
        <f t="shared" si="3"/>
        <v>0</v>
      </c>
      <c r="Z9" s="40">
        <f t="shared" si="3"/>
        <v>0</v>
      </c>
      <c r="AA9" s="40">
        <f t="shared" si="3"/>
        <v>0</v>
      </c>
      <c r="AB9" s="40">
        <f t="shared" si="3"/>
        <v>0</v>
      </c>
      <c r="AC9" s="40">
        <f t="shared" si="3"/>
        <v>0</v>
      </c>
      <c r="AD9" s="20">
        <f t="shared" si="2"/>
        <v>0</v>
      </c>
      <c r="AE9" s="20"/>
    </row>
    <row r="10" spans="1:31" s="42" customFormat="1" ht="15" customHeight="1">
      <c r="A10" s="43"/>
      <c r="B10" s="44" t="s">
        <v>316</v>
      </c>
      <c r="C10" s="43"/>
      <c r="D10" s="45" t="s">
        <v>317</v>
      </c>
      <c r="E10" s="46">
        <f t="shared" si="3"/>
        <v>4500</v>
      </c>
      <c r="F10" s="48">
        <f t="shared" si="3"/>
        <v>4500</v>
      </c>
      <c r="G10" s="49">
        <f t="shared" si="3"/>
        <v>4500</v>
      </c>
      <c r="H10" s="47"/>
      <c r="I10" s="48">
        <f t="shared" si="3"/>
        <v>4500</v>
      </c>
      <c r="J10" s="49">
        <f t="shared" si="3"/>
        <v>0</v>
      </c>
      <c r="K10" s="49">
        <f t="shared" si="3"/>
        <v>0</v>
      </c>
      <c r="L10" s="49">
        <f t="shared" si="3"/>
        <v>0</v>
      </c>
      <c r="M10" s="49">
        <f t="shared" si="3"/>
        <v>0</v>
      </c>
      <c r="N10" s="49">
        <f t="shared" si="3"/>
        <v>0</v>
      </c>
      <c r="O10" s="49">
        <f t="shared" si="3"/>
        <v>0</v>
      </c>
      <c r="P10" s="50">
        <f t="shared" si="3"/>
        <v>4500</v>
      </c>
      <c r="Q10" s="48">
        <f t="shared" si="3"/>
        <v>0</v>
      </c>
      <c r="R10" s="48">
        <f t="shared" si="3"/>
        <v>0</v>
      </c>
      <c r="S10" s="48">
        <f t="shared" si="3"/>
        <v>0</v>
      </c>
      <c r="T10" s="48">
        <f t="shared" si="3"/>
        <v>0</v>
      </c>
      <c r="U10" s="48">
        <f t="shared" si="3"/>
        <v>0</v>
      </c>
      <c r="V10" s="48">
        <f t="shared" si="3"/>
        <v>0</v>
      </c>
      <c r="W10" s="48">
        <f t="shared" si="3"/>
        <v>0</v>
      </c>
      <c r="X10" s="48">
        <f t="shared" si="3"/>
        <v>0</v>
      </c>
      <c r="Y10" s="48">
        <f t="shared" si="3"/>
        <v>0</v>
      </c>
      <c r="Z10" s="48">
        <f t="shared" si="3"/>
        <v>0</v>
      </c>
      <c r="AA10" s="48">
        <f t="shared" si="3"/>
        <v>0</v>
      </c>
      <c r="AB10" s="48">
        <f t="shared" si="3"/>
        <v>0</v>
      </c>
      <c r="AC10" s="48">
        <f t="shared" si="3"/>
        <v>0</v>
      </c>
      <c r="AD10" s="29">
        <f t="shared" si="2"/>
        <v>0</v>
      </c>
      <c r="AE10" s="29"/>
    </row>
    <row r="11" spans="1:31" s="42" customFormat="1" ht="69" customHeight="1">
      <c r="A11" s="43"/>
      <c r="B11" s="30"/>
      <c r="C11" s="31" t="s">
        <v>318</v>
      </c>
      <c r="D11" s="32" t="s">
        <v>319</v>
      </c>
      <c r="E11" s="51">
        <v>4500</v>
      </c>
      <c r="F11" s="52">
        <v>4500</v>
      </c>
      <c r="G11" s="53">
        <v>4500</v>
      </c>
      <c r="H11" s="34" t="s">
        <v>320</v>
      </c>
      <c r="I11" s="52">
        <v>4500</v>
      </c>
      <c r="J11" s="53"/>
      <c r="K11" s="53"/>
      <c r="L11" s="53"/>
      <c r="M11" s="53"/>
      <c r="N11" s="53"/>
      <c r="O11" s="53"/>
      <c r="P11" s="33">
        <f>I11+J11+K11+L11+M11+N11+O11</f>
        <v>4500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34">
        <f>SUM(Q11:AB11)</f>
        <v>0</v>
      </c>
      <c r="AD11" s="35">
        <f t="shared" si="2"/>
        <v>0</v>
      </c>
      <c r="AE11" s="313" t="s">
        <v>195</v>
      </c>
    </row>
    <row r="12" spans="1:31" s="42" customFormat="1" ht="16.5" customHeight="1">
      <c r="A12" s="56">
        <v>600</v>
      </c>
      <c r="B12" s="56"/>
      <c r="C12" s="56"/>
      <c r="D12" s="57" t="s">
        <v>347</v>
      </c>
      <c r="E12" s="39">
        <f aca="true" t="shared" si="4" ref="E12:U13">E13</f>
        <v>0</v>
      </c>
      <c r="F12" s="40">
        <f t="shared" si="4"/>
        <v>0</v>
      </c>
      <c r="G12" s="41">
        <f t="shared" si="4"/>
        <v>0</v>
      </c>
      <c r="H12" s="20"/>
      <c r="I12" s="40">
        <f t="shared" si="4"/>
        <v>0</v>
      </c>
      <c r="J12" s="41">
        <f t="shared" si="4"/>
        <v>0</v>
      </c>
      <c r="K12" s="41">
        <f t="shared" si="4"/>
        <v>85101</v>
      </c>
      <c r="L12" s="41">
        <f t="shared" si="4"/>
        <v>0</v>
      </c>
      <c r="M12" s="41" t="e">
        <f t="shared" si="4"/>
        <v>#REF!</v>
      </c>
      <c r="N12" s="41">
        <f t="shared" si="4"/>
        <v>0</v>
      </c>
      <c r="O12" s="41">
        <f t="shared" si="4"/>
        <v>0</v>
      </c>
      <c r="P12" s="40">
        <f>P13+P15</f>
        <v>155301</v>
      </c>
      <c r="Q12" s="40">
        <f t="shared" si="4"/>
        <v>0</v>
      </c>
      <c r="R12" s="40">
        <f t="shared" si="4"/>
        <v>0</v>
      </c>
      <c r="S12" s="40">
        <f t="shared" si="4"/>
        <v>0</v>
      </c>
      <c r="T12" s="40">
        <f t="shared" si="4"/>
        <v>0</v>
      </c>
      <c r="U12" s="40">
        <f t="shared" si="4"/>
        <v>0</v>
      </c>
      <c r="V12" s="40" t="e">
        <f>V13+#REF!</f>
        <v>#REF!</v>
      </c>
      <c r="W12" s="40" t="e">
        <f>W13+#REF!</f>
        <v>#REF!</v>
      </c>
      <c r="X12" s="40" t="e">
        <f>X13+#REF!</f>
        <v>#REF!</v>
      </c>
      <c r="Y12" s="40" t="e">
        <f>Y13+#REF!</f>
        <v>#REF!</v>
      </c>
      <c r="Z12" s="40" t="e">
        <f>Z13+#REF!</f>
        <v>#REF!</v>
      </c>
      <c r="AA12" s="40" t="e">
        <f>AA13+#REF!</f>
        <v>#REF!</v>
      </c>
      <c r="AB12" s="40" t="e">
        <f>AB13+#REF!</f>
        <v>#REF!</v>
      </c>
      <c r="AC12" s="40">
        <f>AC13+AC15</f>
        <v>0</v>
      </c>
      <c r="AD12" s="20">
        <f t="shared" si="2"/>
        <v>0</v>
      </c>
      <c r="AE12" s="20"/>
    </row>
    <row r="13" spans="1:31" s="42" customFormat="1" ht="18" customHeight="1">
      <c r="A13" s="23"/>
      <c r="B13" s="23">
        <v>60014</v>
      </c>
      <c r="C13" s="23"/>
      <c r="D13" s="24" t="s">
        <v>479</v>
      </c>
      <c r="E13" s="46">
        <f>E14</f>
        <v>0</v>
      </c>
      <c r="F13" s="48">
        <f>F14</f>
        <v>0</v>
      </c>
      <c r="G13" s="49">
        <f>G14</f>
        <v>0</v>
      </c>
      <c r="H13" s="47"/>
      <c r="I13" s="48">
        <f>I14</f>
        <v>0</v>
      </c>
      <c r="J13" s="49">
        <f>J14</f>
        <v>0</v>
      </c>
      <c r="K13" s="49">
        <f>K14</f>
        <v>85101</v>
      </c>
      <c r="L13" s="49">
        <f t="shared" si="4"/>
        <v>0</v>
      </c>
      <c r="M13" s="49" t="e">
        <f>M14+M16+#REF!</f>
        <v>#REF!</v>
      </c>
      <c r="N13" s="49">
        <f t="shared" si="4"/>
        <v>0</v>
      </c>
      <c r="O13" s="49">
        <f t="shared" si="4"/>
        <v>0</v>
      </c>
      <c r="P13" s="50">
        <f>P14</f>
        <v>85101</v>
      </c>
      <c r="Q13" s="48">
        <f>Q14</f>
        <v>0</v>
      </c>
      <c r="R13" s="48">
        <f t="shared" si="4"/>
        <v>0</v>
      </c>
      <c r="S13" s="48">
        <f t="shared" si="4"/>
        <v>0</v>
      </c>
      <c r="T13" s="48">
        <f t="shared" si="4"/>
        <v>0</v>
      </c>
      <c r="U13" s="48">
        <f t="shared" si="4"/>
        <v>0</v>
      </c>
      <c r="V13" s="48">
        <f>V14+V16</f>
        <v>0</v>
      </c>
      <c r="W13" s="48">
        <f aca="true" t="shared" si="5" ref="W13:AC13">W14+W16</f>
        <v>0</v>
      </c>
      <c r="X13" s="48">
        <f t="shared" si="5"/>
        <v>0</v>
      </c>
      <c r="Y13" s="48">
        <f t="shared" si="5"/>
        <v>0</v>
      </c>
      <c r="Z13" s="48">
        <f t="shared" si="5"/>
        <v>0</v>
      </c>
      <c r="AA13" s="48">
        <f t="shared" si="5"/>
        <v>0</v>
      </c>
      <c r="AB13" s="48">
        <f t="shared" si="5"/>
        <v>0</v>
      </c>
      <c r="AC13" s="48">
        <f t="shared" si="5"/>
        <v>0</v>
      </c>
      <c r="AD13" s="35">
        <f t="shared" si="2"/>
        <v>0</v>
      </c>
      <c r="AE13" s="35"/>
    </row>
    <row r="14" spans="1:31" s="42" customFormat="1" ht="55.5" customHeight="1">
      <c r="A14" s="23"/>
      <c r="B14" s="23"/>
      <c r="C14" s="58">
        <v>6620</v>
      </c>
      <c r="D14" s="59" t="s">
        <v>274</v>
      </c>
      <c r="E14" s="51"/>
      <c r="F14" s="52"/>
      <c r="G14" s="53"/>
      <c r="H14" s="34" t="s">
        <v>350</v>
      </c>
      <c r="I14" s="52"/>
      <c r="J14" s="53"/>
      <c r="K14" s="53">
        <v>85101</v>
      </c>
      <c r="L14" s="53"/>
      <c r="M14" s="53"/>
      <c r="N14" s="53"/>
      <c r="O14" s="53"/>
      <c r="P14" s="33">
        <f>I14+J14+K14+L14+M14+N14+O14</f>
        <v>85101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34">
        <f>SUM(Q14:AB14)</f>
        <v>0</v>
      </c>
      <c r="AD14" s="35">
        <f t="shared" si="2"/>
        <v>0</v>
      </c>
      <c r="AE14" s="313" t="s">
        <v>198</v>
      </c>
    </row>
    <row r="15" spans="1:31" s="42" customFormat="1" ht="18" customHeight="1">
      <c r="A15" s="23"/>
      <c r="B15" s="23">
        <v>60016</v>
      </c>
      <c r="C15" s="23"/>
      <c r="D15" s="24" t="s">
        <v>348</v>
      </c>
      <c r="E15" s="46">
        <f>E16</f>
        <v>0</v>
      </c>
      <c r="F15" s="48">
        <f>F16</f>
        <v>0</v>
      </c>
      <c r="G15" s="49">
        <f>G16</f>
        <v>0</v>
      </c>
      <c r="H15" s="47"/>
      <c r="I15" s="48">
        <f>I16</f>
        <v>0</v>
      </c>
      <c r="J15" s="49">
        <f>J16</f>
        <v>0</v>
      </c>
      <c r="K15" s="49">
        <f>K16</f>
        <v>0</v>
      </c>
      <c r="L15" s="49">
        <f>L16</f>
        <v>0</v>
      </c>
      <c r="M15" s="49" t="e">
        <f>M16+M17+#REF!</f>
        <v>#REF!</v>
      </c>
      <c r="N15" s="49">
        <f aca="true" t="shared" si="6" ref="N15:AC15">N16</f>
        <v>0</v>
      </c>
      <c r="O15" s="49">
        <f t="shared" si="6"/>
        <v>0</v>
      </c>
      <c r="P15" s="50">
        <f>P16+P17</f>
        <v>70200</v>
      </c>
      <c r="Q15" s="48">
        <f t="shared" si="6"/>
        <v>0</v>
      </c>
      <c r="R15" s="48">
        <f t="shared" si="6"/>
        <v>0</v>
      </c>
      <c r="S15" s="48">
        <f t="shared" si="6"/>
        <v>0</v>
      </c>
      <c r="T15" s="48">
        <f t="shared" si="6"/>
        <v>0</v>
      </c>
      <c r="U15" s="48">
        <f t="shared" si="6"/>
        <v>0</v>
      </c>
      <c r="V15" s="48">
        <f t="shared" si="6"/>
        <v>0</v>
      </c>
      <c r="W15" s="48">
        <f t="shared" si="6"/>
        <v>0</v>
      </c>
      <c r="X15" s="48">
        <f t="shared" si="6"/>
        <v>0</v>
      </c>
      <c r="Y15" s="48">
        <f t="shared" si="6"/>
        <v>0</v>
      </c>
      <c r="Z15" s="48">
        <f t="shared" si="6"/>
        <v>0</v>
      </c>
      <c r="AA15" s="48">
        <f t="shared" si="6"/>
        <v>0</v>
      </c>
      <c r="AB15" s="48">
        <f t="shared" si="6"/>
        <v>0</v>
      </c>
      <c r="AC15" s="48">
        <f t="shared" si="6"/>
        <v>0</v>
      </c>
      <c r="AD15" s="35">
        <f>AC15*100/P15</f>
        <v>0</v>
      </c>
      <c r="AE15" s="35"/>
    </row>
    <row r="16" spans="1:31" s="42" customFormat="1" ht="58.5" customHeight="1">
      <c r="A16" s="23"/>
      <c r="B16" s="23"/>
      <c r="C16" s="58">
        <v>6260</v>
      </c>
      <c r="D16" s="59" t="s">
        <v>349</v>
      </c>
      <c r="E16" s="51"/>
      <c r="F16" s="52"/>
      <c r="G16" s="53"/>
      <c r="H16" s="34"/>
      <c r="I16" s="52"/>
      <c r="J16" s="53"/>
      <c r="K16" s="53"/>
      <c r="L16" s="53"/>
      <c r="M16" s="53">
        <f>40200</f>
        <v>40200</v>
      </c>
      <c r="N16" s="53"/>
      <c r="O16" s="53"/>
      <c r="P16" s="33">
        <f>I16+J16+K16+L16+M16+N16+O16</f>
        <v>40200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34">
        <f>SUM(Q16:AB16)</f>
        <v>0</v>
      </c>
      <c r="AD16" s="35">
        <f t="shared" si="2"/>
        <v>0</v>
      </c>
      <c r="AE16" s="315" t="s">
        <v>196</v>
      </c>
    </row>
    <row r="17" spans="1:31" s="42" customFormat="1" ht="61.5" customHeight="1">
      <c r="A17" s="23"/>
      <c r="B17" s="23"/>
      <c r="C17" s="58">
        <v>6300</v>
      </c>
      <c r="D17" s="59" t="s">
        <v>618</v>
      </c>
      <c r="E17" s="51"/>
      <c r="F17" s="52"/>
      <c r="G17" s="53"/>
      <c r="H17" s="34"/>
      <c r="I17" s="52"/>
      <c r="J17" s="53"/>
      <c r="K17" s="53"/>
      <c r="L17" s="53"/>
      <c r="M17" s="53">
        <v>30000</v>
      </c>
      <c r="N17" s="53"/>
      <c r="O17" s="53"/>
      <c r="P17" s="33">
        <f>I17+J17+K17+L17+M17+N17+O17</f>
        <v>30000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34">
        <f>SUM(Q17:AB17)</f>
        <v>0</v>
      </c>
      <c r="AD17" s="35">
        <f t="shared" si="2"/>
        <v>0</v>
      </c>
      <c r="AE17" s="315" t="s">
        <v>197</v>
      </c>
    </row>
    <row r="18" spans="1:31" s="42" customFormat="1" ht="15" customHeight="1">
      <c r="A18" s="55">
        <v>700</v>
      </c>
      <c r="B18" s="55"/>
      <c r="C18" s="55"/>
      <c r="D18" s="38" t="s">
        <v>351</v>
      </c>
      <c r="E18" s="39">
        <f aca="true" t="shared" si="7" ref="E18:AB18">E19</f>
        <v>333530</v>
      </c>
      <c r="F18" s="40">
        <f t="shared" si="7"/>
        <v>933530</v>
      </c>
      <c r="G18" s="41">
        <f t="shared" si="7"/>
        <v>846530</v>
      </c>
      <c r="H18" s="20"/>
      <c r="I18" s="40">
        <f t="shared" si="7"/>
        <v>846530</v>
      </c>
      <c r="J18" s="41">
        <f t="shared" si="7"/>
        <v>170000</v>
      </c>
      <c r="K18" s="41">
        <f t="shared" si="7"/>
        <v>0</v>
      </c>
      <c r="L18" s="41">
        <f t="shared" si="7"/>
        <v>229700</v>
      </c>
      <c r="M18" s="41">
        <f t="shared" si="7"/>
        <v>0</v>
      </c>
      <c r="N18" s="41">
        <f t="shared" si="7"/>
        <v>0</v>
      </c>
      <c r="O18" s="41">
        <f t="shared" si="7"/>
        <v>0</v>
      </c>
      <c r="P18" s="40">
        <f t="shared" si="7"/>
        <v>1246230</v>
      </c>
      <c r="Q18" s="40">
        <f t="shared" si="7"/>
        <v>0</v>
      </c>
      <c r="R18" s="40">
        <f t="shared" si="7"/>
        <v>6246.44</v>
      </c>
      <c r="S18" s="40">
        <f t="shared" si="7"/>
        <v>48604.689999999995</v>
      </c>
      <c r="T18" s="40">
        <f t="shared" si="7"/>
        <v>96203.96</v>
      </c>
      <c r="U18" s="40">
        <f t="shared" si="7"/>
        <v>28.5</v>
      </c>
      <c r="V18" s="40">
        <f t="shared" si="7"/>
        <v>4897.4400000000005</v>
      </c>
      <c r="W18" s="40">
        <f t="shared" si="7"/>
        <v>0</v>
      </c>
      <c r="X18" s="40">
        <f t="shared" si="7"/>
        <v>0</v>
      </c>
      <c r="Y18" s="40">
        <f t="shared" si="7"/>
        <v>0</v>
      </c>
      <c r="Z18" s="40">
        <f t="shared" si="7"/>
        <v>0</v>
      </c>
      <c r="AA18" s="40">
        <f t="shared" si="7"/>
        <v>0</v>
      </c>
      <c r="AB18" s="40">
        <f t="shared" si="7"/>
        <v>0</v>
      </c>
      <c r="AC18" s="40">
        <f>AC19</f>
        <v>155981.03</v>
      </c>
      <c r="AD18" s="20">
        <f t="shared" si="2"/>
        <v>12.516231353762949</v>
      </c>
      <c r="AE18" s="20"/>
    </row>
    <row r="19" spans="1:31" s="42" customFormat="1" ht="17.25" customHeight="1">
      <c r="A19" s="43"/>
      <c r="B19" s="43">
        <v>70005</v>
      </c>
      <c r="C19" s="43"/>
      <c r="D19" s="45" t="s">
        <v>352</v>
      </c>
      <c r="E19" s="60">
        <f>SUM(E20:E24)</f>
        <v>333530</v>
      </c>
      <c r="F19" s="61">
        <f>SUM(F20:F24)</f>
        <v>933530</v>
      </c>
      <c r="G19" s="62">
        <f>SUM(G20:G24)</f>
        <v>846530</v>
      </c>
      <c r="H19" s="29"/>
      <c r="I19" s="61">
        <f aca="true" t="shared" si="8" ref="I19:AB19">SUM(I20:I24)</f>
        <v>846530</v>
      </c>
      <c r="J19" s="62">
        <f t="shared" si="8"/>
        <v>170000</v>
      </c>
      <c r="K19" s="62">
        <f t="shared" si="8"/>
        <v>0</v>
      </c>
      <c r="L19" s="62">
        <f t="shared" si="8"/>
        <v>229700</v>
      </c>
      <c r="M19" s="62">
        <f t="shared" si="8"/>
        <v>0</v>
      </c>
      <c r="N19" s="62">
        <f t="shared" si="8"/>
        <v>0</v>
      </c>
      <c r="O19" s="62">
        <f t="shared" si="8"/>
        <v>0</v>
      </c>
      <c r="P19" s="50">
        <f t="shared" si="8"/>
        <v>1246230</v>
      </c>
      <c r="Q19" s="61">
        <f t="shared" si="8"/>
        <v>0</v>
      </c>
      <c r="R19" s="61">
        <f t="shared" si="8"/>
        <v>6246.44</v>
      </c>
      <c r="S19" s="61">
        <f t="shared" si="8"/>
        <v>48604.689999999995</v>
      </c>
      <c r="T19" s="61">
        <f>SUM(T20:T24)</f>
        <v>96203.96</v>
      </c>
      <c r="U19" s="61">
        <f t="shared" si="8"/>
        <v>28.5</v>
      </c>
      <c r="V19" s="61">
        <f t="shared" si="8"/>
        <v>4897.4400000000005</v>
      </c>
      <c r="W19" s="61">
        <f t="shared" si="8"/>
        <v>0</v>
      </c>
      <c r="X19" s="61">
        <f t="shared" si="8"/>
        <v>0</v>
      </c>
      <c r="Y19" s="61">
        <f t="shared" si="8"/>
        <v>0</v>
      </c>
      <c r="Z19" s="61">
        <f t="shared" si="8"/>
        <v>0</v>
      </c>
      <c r="AA19" s="61">
        <f t="shared" si="8"/>
        <v>0</v>
      </c>
      <c r="AB19" s="61">
        <f t="shared" si="8"/>
        <v>0</v>
      </c>
      <c r="AC19" s="61">
        <f>SUM(AC20:AC24)</f>
        <v>155981.03</v>
      </c>
      <c r="AD19" s="29">
        <f t="shared" si="2"/>
        <v>12.516231353762949</v>
      </c>
      <c r="AE19" s="29"/>
    </row>
    <row r="20" spans="1:31" s="42" customFormat="1" ht="56.25">
      <c r="A20" s="43"/>
      <c r="B20" s="30"/>
      <c r="C20" s="31" t="s">
        <v>353</v>
      </c>
      <c r="D20" s="32" t="s">
        <v>354</v>
      </c>
      <c r="E20" s="51">
        <f>21473+17320</f>
        <v>38793</v>
      </c>
      <c r="F20" s="52">
        <f>21473+17320</f>
        <v>38793</v>
      </c>
      <c r="G20" s="53">
        <f>21473+17320</f>
        <v>38793</v>
      </c>
      <c r="H20" s="34" t="s">
        <v>275</v>
      </c>
      <c r="I20" s="52">
        <f>21473+17320</f>
        <v>38793</v>
      </c>
      <c r="J20" s="53"/>
      <c r="K20" s="53"/>
      <c r="L20" s="53"/>
      <c r="M20" s="53"/>
      <c r="N20" s="53"/>
      <c r="O20" s="53"/>
      <c r="P20" s="33">
        <f>I20+J20+K20+L20+M20+N20+O20</f>
        <v>38793</v>
      </c>
      <c r="Q20" s="52"/>
      <c r="R20" s="52"/>
      <c r="S20" s="52">
        <f>13798.93+5513.31</f>
        <v>19312.24</v>
      </c>
      <c r="T20" s="52">
        <v>2137.38</v>
      </c>
      <c r="U20" s="52"/>
      <c r="V20" s="52"/>
      <c r="W20" s="52"/>
      <c r="X20" s="52"/>
      <c r="Y20" s="52"/>
      <c r="Z20" s="52"/>
      <c r="AA20" s="52"/>
      <c r="AB20" s="52"/>
      <c r="AC20" s="34">
        <f>SUM(Q20:AB20)</f>
        <v>21449.620000000003</v>
      </c>
      <c r="AD20" s="35">
        <f>AC20*100/P20</f>
        <v>55.29250122444772</v>
      </c>
      <c r="AE20" s="440" t="s">
        <v>1038</v>
      </c>
    </row>
    <row r="21" spans="1:31" s="42" customFormat="1" ht="72" customHeight="1">
      <c r="A21" s="43"/>
      <c r="B21" s="30"/>
      <c r="C21" s="31" t="s">
        <v>318</v>
      </c>
      <c r="D21" s="32" t="s">
        <v>319</v>
      </c>
      <c r="E21" s="51">
        <f>20845+342+2788+36000+19150+200</f>
        <v>79325</v>
      </c>
      <c r="F21" s="52">
        <f>20845+342+2788+36000+19150+200</f>
        <v>79325</v>
      </c>
      <c r="G21" s="53">
        <f>20845+342+2788+36000+19150+200</f>
        <v>79325</v>
      </c>
      <c r="H21" s="34" t="s">
        <v>276</v>
      </c>
      <c r="I21" s="52">
        <f>20845+342+2788+36000+19150+200</f>
        <v>79325</v>
      </c>
      <c r="J21" s="53"/>
      <c r="K21" s="53"/>
      <c r="L21" s="53"/>
      <c r="M21" s="53"/>
      <c r="N21" s="53"/>
      <c r="O21" s="53"/>
      <c r="P21" s="33">
        <f>I21+J21+K21+L21+M21+N21+O21</f>
        <v>79325</v>
      </c>
      <c r="Q21" s="52"/>
      <c r="R21" s="52">
        <v>6223.44</v>
      </c>
      <c r="S21" s="52">
        <v>9825.37</v>
      </c>
      <c r="T21" s="52">
        <v>3364.44</v>
      </c>
      <c r="U21" s="52">
        <v>28.5</v>
      </c>
      <c r="V21" s="52">
        <v>3367.44</v>
      </c>
      <c r="W21" s="52"/>
      <c r="X21" s="52"/>
      <c r="Y21" s="52"/>
      <c r="Z21" s="52"/>
      <c r="AA21" s="52"/>
      <c r="AB21" s="52"/>
      <c r="AC21" s="34">
        <f>SUM(Q21:AB21)</f>
        <v>22809.19</v>
      </c>
      <c r="AD21" s="35">
        <f t="shared" si="2"/>
        <v>28.75410022061141</v>
      </c>
      <c r="AE21" s="315" t="s">
        <v>1039</v>
      </c>
    </row>
    <row r="22" spans="1:31" s="42" customFormat="1" ht="123.75">
      <c r="A22" s="43"/>
      <c r="B22" s="30"/>
      <c r="C22" s="31" t="s">
        <v>355</v>
      </c>
      <c r="D22" s="32" t="s">
        <v>356</v>
      </c>
      <c r="E22" s="51">
        <f>11142+200000</f>
        <v>211142</v>
      </c>
      <c r="F22" s="52">
        <f>11142+800000</f>
        <v>811142</v>
      </c>
      <c r="G22" s="53">
        <f>11142+800000-87000</f>
        <v>724142</v>
      </c>
      <c r="H22" s="34" t="s">
        <v>277</v>
      </c>
      <c r="I22" s="52">
        <f>11142+800000-87000</f>
        <v>724142</v>
      </c>
      <c r="J22" s="53">
        <v>170000</v>
      </c>
      <c r="K22" s="53"/>
      <c r="L22" s="53">
        <f>55000+174700</f>
        <v>229700</v>
      </c>
      <c r="M22" s="53"/>
      <c r="N22" s="53"/>
      <c r="O22" s="53"/>
      <c r="P22" s="33">
        <f>I22+J22+K22+L22+M22+N22+O22</f>
        <v>1123842</v>
      </c>
      <c r="Q22" s="52"/>
      <c r="R22" s="52"/>
      <c r="S22" s="52">
        <v>17320.56</v>
      </c>
      <c r="T22" s="52">
        <v>90646.9</v>
      </c>
      <c r="U22" s="52"/>
      <c r="V22" s="52">
        <v>1530</v>
      </c>
      <c r="W22" s="52"/>
      <c r="X22" s="52"/>
      <c r="Y22" s="52"/>
      <c r="Z22" s="52"/>
      <c r="AA22" s="52"/>
      <c r="AB22" s="52"/>
      <c r="AC22" s="34">
        <f>SUM(Q22:AB22)</f>
        <v>109497.45999999999</v>
      </c>
      <c r="AD22" s="35">
        <f t="shared" si="2"/>
        <v>9.743136490716667</v>
      </c>
      <c r="AE22" s="315" t="s">
        <v>1040</v>
      </c>
    </row>
    <row r="23" spans="1:31" s="42" customFormat="1" ht="25.5">
      <c r="A23" s="43"/>
      <c r="B23" s="30"/>
      <c r="C23" s="31" t="s">
        <v>357</v>
      </c>
      <c r="D23" s="32" t="s">
        <v>358</v>
      </c>
      <c r="E23" s="51">
        <v>100</v>
      </c>
      <c r="F23" s="52">
        <v>100</v>
      </c>
      <c r="G23" s="53">
        <v>100</v>
      </c>
      <c r="H23" s="34"/>
      <c r="I23" s="52">
        <v>100</v>
      </c>
      <c r="J23" s="53"/>
      <c r="K23" s="53"/>
      <c r="L23" s="53"/>
      <c r="M23" s="53"/>
      <c r="N23" s="53"/>
      <c r="O23" s="53"/>
      <c r="P23" s="33">
        <f>I23+J23+K23+L23+M23+N23+O23</f>
        <v>100</v>
      </c>
      <c r="Q23" s="52"/>
      <c r="R23" s="52">
        <v>23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34">
        <f>SUM(Q23:AB23)</f>
        <v>23</v>
      </c>
      <c r="AD23" s="35">
        <f t="shared" si="2"/>
        <v>23</v>
      </c>
      <c r="AE23" s="313" t="s">
        <v>186</v>
      </c>
    </row>
    <row r="24" spans="1:31" s="42" customFormat="1" ht="22.5">
      <c r="A24" s="43"/>
      <c r="B24" s="30"/>
      <c r="C24" s="31" t="s">
        <v>359</v>
      </c>
      <c r="D24" s="32" t="s">
        <v>360</v>
      </c>
      <c r="E24" s="51">
        <v>4170</v>
      </c>
      <c r="F24" s="52">
        <v>4170</v>
      </c>
      <c r="G24" s="53">
        <v>4170</v>
      </c>
      <c r="H24" s="34" t="s">
        <v>361</v>
      </c>
      <c r="I24" s="52">
        <v>4170</v>
      </c>
      <c r="J24" s="53"/>
      <c r="K24" s="53"/>
      <c r="L24" s="53"/>
      <c r="M24" s="53"/>
      <c r="N24" s="53"/>
      <c r="O24" s="53"/>
      <c r="P24" s="33">
        <f>I24+J24+K24+L24+M24+N24+O24</f>
        <v>4170</v>
      </c>
      <c r="Q24" s="52"/>
      <c r="R24" s="52"/>
      <c r="S24" s="52">
        <v>2146.52</v>
      </c>
      <c r="T24" s="52">
        <v>55.24</v>
      </c>
      <c r="U24" s="52"/>
      <c r="V24" s="52"/>
      <c r="W24" s="52"/>
      <c r="X24" s="52"/>
      <c r="Y24" s="52"/>
      <c r="Z24" s="52"/>
      <c r="AA24" s="52"/>
      <c r="AB24" s="52"/>
      <c r="AC24" s="34">
        <f>SUM(Q24:AB24)</f>
        <v>2201.7599999999998</v>
      </c>
      <c r="AD24" s="35">
        <f t="shared" si="2"/>
        <v>52.79999999999999</v>
      </c>
      <c r="AE24" s="313" t="s">
        <v>185</v>
      </c>
    </row>
    <row r="25" spans="1:31" s="42" customFormat="1" ht="12.75">
      <c r="A25" s="55">
        <v>750</v>
      </c>
      <c r="B25" s="55"/>
      <c r="C25" s="55"/>
      <c r="D25" s="38" t="s">
        <v>362</v>
      </c>
      <c r="E25" s="39">
        <f>E26+E29</f>
        <v>84700</v>
      </c>
      <c r="F25" s="40">
        <f>F26+F29</f>
        <v>99700</v>
      </c>
      <c r="G25" s="41">
        <f>G26+G29</f>
        <v>99700</v>
      </c>
      <c r="H25" s="20"/>
      <c r="I25" s="40">
        <f aca="true" t="shared" si="9" ref="I25:AB25">I26+I29</f>
        <v>99700</v>
      </c>
      <c r="J25" s="41">
        <f t="shared" si="9"/>
        <v>0</v>
      </c>
      <c r="K25" s="41">
        <f t="shared" si="9"/>
        <v>0</v>
      </c>
      <c r="L25" s="41">
        <f t="shared" si="9"/>
        <v>0</v>
      </c>
      <c r="M25" s="39">
        <f t="shared" si="9"/>
        <v>-1200</v>
      </c>
      <c r="N25" s="41">
        <f t="shared" si="9"/>
        <v>0</v>
      </c>
      <c r="O25" s="41">
        <f t="shared" si="9"/>
        <v>0</v>
      </c>
      <c r="P25" s="40">
        <f t="shared" si="9"/>
        <v>98500</v>
      </c>
      <c r="Q25" s="40">
        <f t="shared" si="9"/>
        <v>4418</v>
      </c>
      <c r="R25" s="40">
        <f t="shared" si="9"/>
        <v>28342.010000000002</v>
      </c>
      <c r="S25" s="40">
        <f t="shared" si="9"/>
        <v>5704.460000000001</v>
      </c>
      <c r="T25" s="40">
        <f t="shared" si="9"/>
        <v>5029.55</v>
      </c>
      <c r="U25" s="40">
        <f t="shared" si="9"/>
        <v>4145.46</v>
      </c>
      <c r="V25" s="40">
        <f>V26+V29</f>
        <v>4353.45</v>
      </c>
      <c r="W25" s="40">
        <f t="shared" si="9"/>
        <v>0</v>
      </c>
      <c r="X25" s="40">
        <f t="shared" si="9"/>
        <v>0</v>
      </c>
      <c r="Y25" s="40">
        <f t="shared" si="9"/>
        <v>0</v>
      </c>
      <c r="Z25" s="40">
        <f t="shared" si="9"/>
        <v>0</v>
      </c>
      <c r="AA25" s="40">
        <f t="shared" si="9"/>
        <v>0</v>
      </c>
      <c r="AB25" s="40">
        <f t="shared" si="9"/>
        <v>0</v>
      </c>
      <c r="AC25" s="40">
        <f>AC26+AC29</f>
        <v>51992.92999999999</v>
      </c>
      <c r="AD25" s="20">
        <f t="shared" si="2"/>
        <v>52.784700507614204</v>
      </c>
      <c r="AE25" s="20"/>
    </row>
    <row r="26" spans="1:31" s="42" customFormat="1" ht="16.5" customHeight="1">
      <c r="A26" s="43"/>
      <c r="B26" s="43">
        <v>75011</v>
      </c>
      <c r="C26" s="43"/>
      <c r="D26" s="45" t="s">
        <v>363</v>
      </c>
      <c r="E26" s="46">
        <f>SUM(E27:E28)</f>
        <v>54700</v>
      </c>
      <c r="F26" s="48">
        <f>SUM(F27:F28)</f>
        <v>54700</v>
      </c>
      <c r="G26" s="49">
        <f>SUM(G27:G28)</f>
        <v>54700</v>
      </c>
      <c r="H26" s="47"/>
      <c r="I26" s="48">
        <f aca="true" t="shared" si="10" ref="I26:AB26">SUM(I27:I28)</f>
        <v>54700</v>
      </c>
      <c r="J26" s="49">
        <f t="shared" si="10"/>
        <v>0</v>
      </c>
      <c r="K26" s="49">
        <f t="shared" si="10"/>
        <v>0</v>
      </c>
      <c r="L26" s="49">
        <f t="shared" si="10"/>
        <v>0</v>
      </c>
      <c r="M26" s="49">
        <f t="shared" si="10"/>
        <v>0</v>
      </c>
      <c r="N26" s="49">
        <f t="shared" si="10"/>
        <v>0</v>
      </c>
      <c r="O26" s="49">
        <f t="shared" si="10"/>
        <v>0</v>
      </c>
      <c r="P26" s="50">
        <f t="shared" si="10"/>
        <v>54700</v>
      </c>
      <c r="Q26" s="48">
        <f t="shared" si="10"/>
        <v>4368</v>
      </c>
      <c r="R26" s="48">
        <f t="shared" si="10"/>
        <v>5118.52</v>
      </c>
      <c r="S26" s="48">
        <f t="shared" si="10"/>
        <v>4843.02</v>
      </c>
      <c r="T26" s="48">
        <f>SUM(T27:T28)</f>
        <v>4542.54</v>
      </c>
      <c r="U26" s="48">
        <f t="shared" si="10"/>
        <v>4052</v>
      </c>
      <c r="V26" s="48">
        <f t="shared" si="10"/>
        <v>4513.04</v>
      </c>
      <c r="W26" s="48">
        <f t="shared" si="10"/>
        <v>0</v>
      </c>
      <c r="X26" s="48">
        <f t="shared" si="10"/>
        <v>0</v>
      </c>
      <c r="Y26" s="48">
        <f t="shared" si="10"/>
        <v>0</v>
      </c>
      <c r="Z26" s="48">
        <f t="shared" si="10"/>
        <v>0</v>
      </c>
      <c r="AA26" s="48">
        <f t="shared" si="10"/>
        <v>0</v>
      </c>
      <c r="AB26" s="48">
        <f t="shared" si="10"/>
        <v>0</v>
      </c>
      <c r="AC26" s="48">
        <f>SUM(AC27:AC28)</f>
        <v>27437.12</v>
      </c>
      <c r="AD26" s="29">
        <f t="shared" si="2"/>
        <v>50.15926873857404</v>
      </c>
      <c r="AE26" s="29"/>
    </row>
    <row r="27" spans="1:31" s="42" customFormat="1" ht="54.75" customHeight="1">
      <c r="A27" s="43"/>
      <c r="B27" s="30"/>
      <c r="C27" s="30">
        <v>2010</v>
      </c>
      <c r="D27" s="32" t="s">
        <v>364</v>
      </c>
      <c r="E27" s="51">
        <v>53800</v>
      </c>
      <c r="F27" s="52">
        <v>53800</v>
      </c>
      <c r="G27" s="53">
        <v>53800</v>
      </c>
      <c r="H27" s="34" t="s">
        <v>278</v>
      </c>
      <c r="I27" s="52">
        <v>53800</v>
      </c>
      <c r="J27" s="53"/>
      <c r="K27" s="53"/>
      <c r="L27" s="53"/>
      <c r="M27" s="53"/>
      <c r="N27" s="53"/>
      <c r="O27" s="53"/>
      <c r="P27" s="33">
        <f aca="true" t="shared" si="11" ref="P27:P33">I27+J27+K27+L27+M27+N27+O27</f>
        <v>53800</v>
      </c>
      <c r="Q27" s="52">
        <v>4242</v>
      </c>
      <c r="R27" s="52">
        <v>5024</v>
      </c>
      <c r="S27" s="52">
        <v>4726</v>
      </c>
      <c r="T27" s="52">
        <v>4448</v>
      </c>
      <c r="U27" s="52">
        <v>3941</v>
      </c>
      <c r="V27" s="52">
        <v>4387</v>
      </c>
      <c r="W27" s="52"/>
      <c r="X27" s="52"/>
      <c r="Y27" s="52"/>
      <c r="Z27" s="52"/>
      <c r="AA27" s="52"/>
      <c r="AB27" s="52"/>
      <c r="AC27" s="34">
        <f>SUM(Q27:AB27)</f>
        <v>26768</v>
      </c>
      <c r="AD27" s="35">
        <f t="shared" si="2"/>
        <v>49.7546468401487</v>
      </c>
      <c r="AE27" s="54" t="s">
        <v>1041</v>
      </c>
    </row>
    <row r="28" spans="1:31" s="42" customFormat="1" ht="54.75" customHeight="1">
      <c r="A28" s="43"/>
      <c r="B28" s="30"/>
      <c r="C28" s="30">
        <v>2360</v>
      </c>
      <c r="D28" s="32" t="s">
        <v>365</v>
      </c>
      <c r="E28" s="51">
        <v>900</v>
      </c>
      <c r="F28" s="52">
        <v>900</v>
      </c>
      <c r="G28" s="53">
        <v>900</v>
      </c>
      <c r="H28" s="34" t="s">
        <v>279</v>
      </c>
      <c r="I28" s="52">
        <v>900</v>
      </c>
      <c r="J28" s="53"/>
      <c r="K28" s="53"/>
      <c r="L28" s="53"/>
      <c r="M28" s="53"/>
      <c r="N28" s="53"/>
      <c r="O28" s="53"/>
      <c r="P28" s="33">
        <f t="shared" si="11"/>
        <v>900</v>
      </c>
      <c r="Q28" s="52">
        <v>126</v>
      </c>
      <c r="R28" s="52">
        <v>94.52</v>
      </c>
      <c r="S28" s="52">
        <v>117.02</v>
      </c>
      <c r="T28" s="52">
        <v>94.54</v>
      </c>
      <c r="U28" s="52">
        <v>111</v>
      </c>
      <c r="V28" s="52">
        <v>126.04</v>
      </c>
      <c r="W28" s="52"/>
      <c r="X28" s="52"/>
      <c r="Y28" s="52"/>
      <c r="Z28" s="52"/>
      <c r="AA28" s="52"/>
      <c r="AB28" s="52"/>
      <c r="AC28" s="34">
        <f>SUM(Q28:AB28)</f>
        <v>669.1199999999999</v>
      </c>
      <c r="AD28" s="35">
        <f t="shared" si="2"/>
        <v>74.34666666666665</v>
      </c>
      <c r="AE28" s="54" t="s">
        <v>1042</v>
      </c>
    </row>
    <row r="29" spans="1:31" s="42" customFormat="1" ht="16.5" customHeight="1">
      <c r="A29" s="43"/>
      <c r="B29" s="43">
        <v>75023</v>
      </c>
      <c r="C29" s="43"/>
      <c r="D29" s="45" t="s">
        <v>366</v>
      </c>
      <c r="E29" s="46">
        <f aca="true" t="shared" si="12" ref="E29:AB29">SUM(E30:E30)</f>
        <v>30000</v>
      </c>
      <c r="F29" s="48">
        <f t="shared" si="12"/>
        <v>45000</v>
      </c>
      <c r="G29" s="49">
        <f t="shared" si="12"/>
        <v>45000</v>
      </c>
      <c r="H29" s="47"/>
      <c r="I29" s="48">
        <f t="shared" si="12"/>
        <v>45000</v>
      </c>
      <c r="J29" s="49">
        <f t="shared" si="12"/>
        <v>0</v>
      </c>
      <c r="K29" s="49">
        <f t="shared" si="12"/>
        <v>0</v>
      </c>
      <c r="L29" s="49">
        <f t="shared" si="12"/>
        <v>0</v>
      </c>
      <c r="M29" s="46">
        <f t="shared" si="12"/>
        <v>-1200</v>
      </c>
      <c r="N29" s="49">
        <f t="shared" si="12"/>
        <v>0</v>
      </c>
      <c r="O29" s="49">
        <f t="shared" si="12"/>
        <v>0</v>
      </c>
      <c r="P29" s="50">
        <f>P30</f>
        <v>43800</v>
      </c>
      <c r="Q29" s="48">
        <f t="shared" si="12"/>
        <v>50</v>
      </c>
      <c r="R29" s="48">
        <f t="shared" si="12"/>
        <v>23223.49</v>
      </c>
      <c r="S29" s="48">
        <f t="shared" si="12"/>
        <v>861.44</v>
      </c>
      <c r="T29" s="48">
        <f t="shared" si="12"/>
        <v>487.01</v>
      </c>
      <c r="U29" s="48">
        <f t="shared" si="12"/>
        <v>93.46</v>
      </c>
      <c r="V29" s="46">
        <f t="shared" si="12"/>
        <v>-159.59</v>
      </c>
      <c r="W29" s="48">
        <f t="shared" si="12"/>
        <v>0</v>
      </c>
      <c r="X29" s="48">
        <f t="shared" si="12"/>
        <v>0</v>
      </c>
      <c r="Y29" s="48">
        <f t="shared" si="12"/>
        <v>0</v>
      </c>
      <c r="Z29" s="48">
        <f t="shared" si="12"/>
        <v>0</v>
      </c>
      <c r="AA29" s="48">
        <f t="shared" si="12"/>
        <v>0</v>
      </c>
      <c r="AB29" s="48">
        <f t="shared" si="12"/>
        <v>0</v>
      </c>
      <c r="AC29" s="48">
        <f>SUM(AC30:AC30)</f>
        <v>24555.809999999998</v>
      </c>
      <c r="AD29" s="29">
        <f t="shared" si="2"/>
        <v>56.063493150684934</v>
      </c>
      <c r="AE29" s="29"/>
    </row>
    <row r="30" spans="1:31" s="42" customFormat="1" ht="38.25">
      <c r="A30" s="30"/>
      <c r="B30" s="30"/>
      <c r="C30" s="31" t="s">
        <v>367</v>
      </c>
      <c r="D30" s="32" t="s">
        <v>368</v>
      </c>
      <c r="E30" s="51">
        <v>30000</v>
      </c>
      <c r="F30" s="52">
        <v>45000</v>
      </c>
      <c r="G30" s="53">
        <v>45000</v>
      </c>
      <c r="H30" s="34" t="s">
        <v>280</v>
      </c>
      <c r="I30" s="52">
        <v>45000</v>
      </c>
      <c r="J30" s="53"/>
      <c r="K30" s="53"/>
      <c r="L30" s="53"/>
      <c r="M30" s="51">
        <v>-1200</v>
      </c>
      <c r="N30" s="53"/>
      <c r="O30" s="53"/>
      <c r="P30" s="33">
        <f t="shared" si="11"/>
        <v>43800</v>
      </c>
      <c r="Q30" s="52">
        <v>50</v>
      </c>
      <c r="R30" s="52">
        <v>23223.49</v>
      </c>
      <c r="S30" s="52">
        <v>861.44</v>
      </c>
      <c r="T30" s="52">
        <v>487.01</v>
      </c>
      <c r="U30" s="52">
        <v>93.46</v>
      </c>
      <c r="V30" s="51">
        <v>-159.59</v>
      </c>
      <c r="W30" s="52"/>
      <c r="X30" s="52"/>
      <c r="Y30" s="52"/>
      <c r="Z30" s="52"/>
      <c r="AA30" s="52"/>
      <c r="AB30" s="52"/>
      <c r="AC30" s="34">
        <f>SUM(Q30:AB30)</f>
        <v>24555.809999999998</v>
      </c>
      <c r="AD30" s="35">
        <f t="shared" si="2"/>
        <v>56.063493150684934</v>
      </c>
      <c r="AE30" s="313" t="s">
        <v>1043</v>
      </c>
    </row>
    <row r="31" spans="1:31" s="42" customFormat="1" ht="40.5" customHeight="1">
      <c r="A31" s="55">
        <v>751</v>
      </c>
      <c r="B31" s="37"/>
      <c r="C31" s="37"/>
      <c r="D31" s="38" t="s">
        <v>369</v>
      </c>
      <c r="E31" s="39">
        <f>E32+E34+E36</f>
        <v>1120</v>
      </c>
      <c r="F31" s="40">
        <f>F32+F34+F36</f>
        <v>1120</v>
      </c>
      <c r="G31" s="41">
        <f>G32+G34+G36</f>
        <v>1090</v>
      </c>
      <c r="H31" s="20"/>
      <c r="I31" s="40">
        <f aca="true" t="shared" si="13" ref="I31:AB31">I32+I34+I36</f>
        <v>1090</v>
      </c>
      <c r="J31" s="41">
        <f t="shared" si="13"/>
        <v>0</v>
      </c>
      <c r="K31" s="41">
        <f t="shared" si="13"/>
        <v>0</v>
      </c>
      <c r="L31" s="41">
        <f t="shared" si="13"/>
        <v>0</v>
      </c>
      <c r="M31" s="41">
        <f t="shared" si="13"/>
        <v>0</v>
      </c>
      <c r="N31" s="41">
        <f t="shared" si="13"/>
        <v>0</v>
      </c>
      <c r="O31" s="41">
        <f t="shared" si="13"/>
        <v>0</v>
      </c>
      <c r="P31" s="40">
        <f t="shared" si="13"/>
        <v>1090</v>
      </c>
      <c r="Q31" s="40">
        <f t="shared" si="13"/>
        <v>91</v>
      </c>
      <c r="R31" s="40">
        <f t="shared" si="13"/>
        <v>91</v>
      </c>
      <c r="S31" s="40">
        <f t="shared" si="13"/>
        <v>91</v>
      </c>
      <c r="T31" s="40">
        <f t="shared" si="13"/>
        <v>91</v>
      </c>
      <c r="U31" s="40">
        <f t="shared" si="13"/>
        <v>91</v>
      </c>
      <c r="V31" s="40">
        <f t="shared" si="13"/>
        <v>91</v>
      </c>
      <c r="W31" s="40">
        <f t="shared" si="13"/>
        <v>0</v>
      </c>
      <c r="X31" s="40">
        <f t="shared" si="13"/>
        <v>0</v>
      </c>
      <c r="Y31" s="40">
        <f t="shared" si="13"/>
        <v>0</v>
      </c>
      <c r="Z31" s="40">
        <f t="shared" si="13"/>
        <v>0</v>
      </c>
      <c r="AA31" s="40">
        <f t="shared" si="13"/>
        <v>0</v>
      </c>
      <c r="AB31" s="40">
        <f t="shared" si="13"/>
        <v>0</v>
      </c>
      <c r="AC31" s="40">
        <f>AC32+AC34+AC36</f>
        <v>546</v>
      </c>
      <c r="AD31" s="20">
        <f t="shared" si="2"/>
        <v>50.091743119266056</v>
      </c>
      <c r="AE31" s="20"/>
    </row>
    <row r="32" spans="1:31" s="66" customFormat="1" ht="27.75" customHeight="1">
      <c r="A32" s="63"/>
      <c r="B32" s="63">
        <v>75101</v>
      </c>
      <c r="C32" s="63"/>
      <c r="D32" s="64" t="s">
        <v>370</v>
      </c>
      <c r="E32" s="60">
        <f aca="true" t="shared" si="14" ref="E32:AB32">E33</f>
        <v>1120</v>
      </c>
      <c r="F32" s="61">
        <f t="shared" si="14"/>
        <v>1120</v>
      </c>
      <c r="G32" s="62">
        <f t="shared" si="14"/>
        <v>1090</v>
      </c>
      <c r="H32" s="29"/>
      <c r="I32" s="61">
        <f t="shared" si="14"/>
        <v>1090</v>
      </c>
      <c r="J32" s="62">
        <f t="shared" si="14"/>
        <v>0</v>
      </c>
      <c r="K32" s="62">
        <f t="shared" si="14"/>
        <v>0</v>
      </c>
      <c r="L32" s="62">
        <f t="shared" si="14"/>
        <v>0</v>
      </c>
      <c r="M32" s="62">
        <f t="shared" si="14"/>
        <v>0</v>
      </c>
      <c r="N32" s="62">
        <f t="shared" si="14"/>
        <v>0</v>
      </c>
      <c r="O32" s="62">
        <f t="shared" si="14"/>
        <v>0</v>
      </c>
      <c r="P32" s="50">
        <f>P33</f>
        <v>1090</v>
      </c>
      <c r="Q32" s="61">
        <f t="shared" si="14"/>
        <v>91</v>
      </c>
      <c r="R32" s="61">
        <f t="shared" si="14"/>
        <v>91</v>
      </c>
      <c r="S32" s="61">
        <f t="shared" si="14"/>
        <v>91</v>
      </c>
      <c r="T32" s="61">
        <f t="shared" si="14"/>
        <v>91</v>
      </c>
      <c r="U32" s="61">
        <f t="shared" si="14"/>
        <v>91</v>
      </c>
      <c r="V32" s="61">
        <f t="shared" si="14"/>
        <v>91</v>
      </c>
      <c r="W32" s="61">
        <f t="shared" si="14"/>
        <v>0</v>
      </c>
      <c r="X32" s="61">
        <f t="shared" si="14"/>
        <v>0</v>
      </c>
      <c r="Y32" s="61">
        <f t="shared" si="14"/>
        <v>0</v>
      </c>
      <c r="Z32" s="61">
        <f t="shared" si="14"/>
        <v>0</v>
      </c>
      <c r="AA32" s="61">
        <f t="shared" si="14"/>
        <v>0</v>
      </c>
      <c r="AB32" s="61">
        <f t="shared" si="14"/>
        <v>0</v>
      </c>
      <c r="AC32" s="61">
        <f>AC33</f>
        <v>546</v>
      </c>
      <c r="AD32" s="65">
        <f t="shared" si="2"/>
        <v>50.091743119266056</v>
      </c>
      <c r="AE32" s="65"/>
    </row>
    <row r="33" spans="1:31" s="66" customFormat="1" ht="54.75" customHeight="1">
      <c r="A33" s="63"/>
      <c r="B33" s="67"/>
      <c r="C33" s="30">
        <v>2010</v>
      </c>
      <c r="D33" s="32" t="s">
        <v>364</v>
      </c>
      <c r="E33" s="68">
        <v>1120</v>
      </c>
      <c r="F33" s="69">
        <v>1120</v>
      </c>
      <c r="G33" s="70">
        <v>1090</v>
      </c>
      <c r="H33" s="35" t="s">
        <v>281</v>
      </c>
      <c r="I33" s="69">
        <v>1090</v>
      </c>
      <c r="J33" s="70"/>
      <c r="K33" s="70"/>
      <c r="L33" s="70"/>
      <c r="M33" s="70"/>
      <c r="N33" s="70"/>
      <c r="O33" s="70"/>
      <c r="P33" s="33">
        <f t="shared" si="11"/>
        <v>1090</v>
      </c>
      <c r="Q33" s="69">
        <v>91</v>
      </c>
      <c r="R33" s="69">
        <v>91</v>
      </c>
      <c r="S33" s="69">
        <v>91</v>
      </c>
      <c r="T33" s="69">
        <v>91</v>
      </c>
      <c r="U33" s="69">
        <v>91</v>
      </c>
      <c r="V33" s="69">
        <v>91</v>
      </c>
      <c r="W33" s="69"/>
      <c r="X33" s="69"/>
      <c r="Y33" s="69"/>
      <c r="Z33" s="69"/>
      <c r="AA33" s="69"/>
      <c r="AB33" s="69"/>
      <c r="AC33" s="34">
        <f>SUM(Q33:AB33)</f>
        <v>546</v>
      </c>
      <c r="AD33" s="35">
        <f>AC33*100/P33</f>
        <v>50.091743119266056</v>
      </c>
      <c r="AE33" s="315" t="s">
        <v>1044</v>
      </c>
    </row>
    <row r="34" spans="1:31" s="66" customFormat="1" ht="12.75" customHeight="1" hidden="1">
      <c r="A34" s="63"/>
      <c r="B34" s="158">
        <v>75107</v>
      </c>
      <c r="C34" s="30"/>
      <c r="D34" s="83" t="s">
        <v>520</v>
      </c>
      <c r="E34" s="60">
        <f aca="true" t="shared" si="15" ref="E34:AB34">E35</f>
        <v>0</v>
      </c>
      <c r="F34" s="61">
        <f t="shared" si="15"/>
        <v>0</v>
      </c>
      <c r="G34" s="62">
        <f t="shared" si="15"/>
        <v>0</v>
      </c>
      <c r="H34" s="35"/>
      <c r="I34" s="61">
        <f t="shared" si="15"/>
        <v>0</v>
      </c>
      <c r="J34" s="62">
        <f t="shared" si="15"/>
        <v>0</v>
      </c>
      <c r="K34" s="62">
        <f t="shared" si="15"/>
        <v>0</v>
      </c>
      <c r="L34" s="62">
        <f t="shared" si="15"/>
        <v>0</v>
      </c>
      <c r="M34" s="62">
        <f t="shared" si="15"/>
        <v>0</v>
      </c>
      <c r="N34" s="62">
        <f t="shared" si="15"/>
        <v>0</v>
      </c>
      <c r="O34" s="62">
        <f t="shared" si="15"/>
        <v>0</v>
      </c>
      <c r="P34" s="71">
        <f t="shared" si="15"/>
        <v>0</v>
      </c>
      <c r="Q34" s="61">
        <f t="shared" si="15"/>
        <v>0</v>
      </c>
      <c r="R34" s="61">
        <f t="shared" si="15"/>
        <v>0</v>
      </c>
      <c r="S34" s="61">
        <f t="shared" si="15"/>
        <v>0</v>
      </c>
      <c r="T34" s="61">
        <f t="shared" si="15"/>
        <v>0</v>
      </c>
      <c r="U34" s="61">
        <f t="shared" si="15"/>
        <v>0</v>
      </c>
      <c r="V34" s="61">
        <f t="shared" si="15"/>
        <v>0</v>
      </c>
      <c r="W34" s="61">
        <f t="shared" si="15"/>
        <v>0</v>
      </c>
      <c r="X34" s="61">
        <f t="shared" si="15"/>
        <v>0</v>
      </c>
      <c r="Y34" s="61">
        <f t="shared" si="15"/>
        <v>0</v>
      </c>
      <c r="Z34" s="61">
        <f t="shared" si="15"/>
        <v>0</v>
      </c>
      <c r="AA34" s="61">
        <f t="shared" si="15"/>
        <v>0</v>
      </c>
      <c r="AB34" s="61">
        <f t="shared" si="15"/>
        <v>0</v>
      </c>
      <c r="AC34" s="91">
        <f>AC35</f>
        <v>0</v>
      </c>
      <c r="AD34" s="65" t="e">
        <f t="shared" si="2"/>
        <v>#DIV/0!</v>
      </c>
      <c r="AE34" s="65"/>
    </row>
    <row r="35" spans="1:31" s="66" customFormat="1" ht="51" customHeight="1" hidden="1">
      <c r="A35" s="63"/>
      <c r="B35" s="67"/>
      <c r="C35" s="30">
        <v>2010</v>
      </c>
      <c r="D35" s="32" t="s">
        <v>364</v>
      </c>
      <c r="E35" s="68"/>
      <c r="F35" s="69"/>
      <c r="G35" s="70"/>
      <c r="H35" s="35"/>
      <c r="I35" s="69"/>
      <c r="J35" s="70"/>
      <c r="K35" s="70"/>
      <c r="L35" s="70"/>
      <c r="M35" s="70"/>
      <c r="N35" s="70"/>
      <c r="O35" s="70"/>
      <c r="P35" s="33">
        <f>I35+J35+K35+L35+M35+N35+O35</f>
        <v>0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34">
        <f>SUM(Q35:AB35)</f>
        <v>0</v>
      </c>
      <c r="AD35" s="35" t="e">
        <f>AC35*100/P35</f>
        <v>#DIV/0!</v>
      </c>
      <c r="AE35" s="35"/>
    </row>
    <row r="36" spans="1:31" s="66" customFormat="1" ht="12.75" customHeight="1" hidden="1">
      <c r="A36" s="63"/>
      <c r="B36" s="158">
        <v>75108</v>
      </c>
      <c r="C36" s="30"/>
      <c r="D36" s="83" t="s">
        <v>521</v>
      </c>
      <c r="E36" s="60">
        <f aca="true" t="shared" si="16" ref="E36:AB36">E37</f>
        <v>0</v>
      </c>
      <c r="F36" s="61">
        <f t="shared" si="16"/>
        <v>0</v>
      </c>
      <c r="G36" s="62">
        <f t="shared" si="16"/>
        <v>0</v>
      </c>
      <c r="H36" s="35"/>
      <c r="I36" s="61">
        <f t="shared" si="16"/>
        <v>0</v>
      </c>
      <c r="J36" s="62">
        <f t="shared" si="16"/>
        <v>0</v>
      </c>
      <c r="K36" s="62">
        <f t="shared" si="16"/>
        <v>0</v>
      </c>
      <c r="L36" s="62">
        <f t="shared" si="16"/>
        <v>0</v>
      </c>
      <c r="M36" s="62">
        <f t="shared" si="16"/>
        <v>0</v>
      </c>
      <c r="N36" s="62">
        <f t="shared" si="16"/>
        <v>0</v>
      </c>
      <c r="O36" s="62">
        <f t="shared" si="16"/>
        <v>0</v>
      </c>
      <c r="P36" s="71">
        <f t="shared" si="16"/>
        <v>0</v>
      </c>
      <c r="Q36" s="61">
        <f t="shared" si="16"/>
        <v>0</v>
      </c>
      <c r="R36" s="61">
        <f t="shared" si="16"/>
        <v>0</v>
      </c>
      <c r="S36" s="61">
        <f t="shared" si="16"/>
        <v>0</v>
      </c>
      <c r="T36" s="61">
        <f t="shared" si="16"/>
        <v>0</v>
      </c>
      <c r="U36" s="61">
        <f t="shared" si="16"/>
        <v>0</v>
      </c>
      <c r="V36" s="61">
        <f t="shared" si="16"/>
        <v>0</v>
      </c>
      <c r="W36" s="61">
        <f t="shared" si="16"/>
        <v>0</v>
      </c>
      <c r="X36" s="61">
        <f t="shared" si="16"/>
        <v>0</v>
      </c>
      <c r="Y36" s="61">
        <f t="shared" si="16"/>
        <v>0</v>
      </c>
      <c r="Z36" s="61">
        <f t="shared" si="16"/>
        <v>0</v>
      </c>
      <c r="AA36" s="61">
        <f t="shared" si="16"/>
        <v>0</v>
      </c>
      <c r="AB36" s="61">
        <f t="shared" si="16"/>
        <v>0</v>
      </c>
      <c r="AC36" s="91">
        <f>AC37</f>
        <v>0</v>
      </c>
      <c r="AD36" s="65" t="e">
        <f t="shared" si="2"/>
        <v>#DIV/0!</v>
      </c>
      <c r="AE36" s="65"/>
    </row>
    <row r="37" spans="1:31" s="66" customFormat="1" ht="51" customHeight="1" hidden="1">
      <c r="A37" s="63"/>
      <c r="B37" s="67"/>
      <c r="C37" s="30">
        <v>2010</v>
      </c>
      <c r="D37" s="32" t="s">
        <v>364</v>
      </c>
      <c r="E37" s="68"/>
      <c r="F37" s="69"/>
      <c r="G37" s="70"/>
      <c r="H37" s="35"/>
      <c r="I37" s="69"/>
      <c r="J37" s="70"/>
      <c r="K37" s="70"/>
      <c r="L37" s="70"/>
      <c r="M37" s="70"/>
      <c r="N37" s="70"/>
      <c r="O37" s="70"/>
      <c r="P37" s="33">
        <f>I37+J37+K37+L37+M37+N37+O37</f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34">
        <f>SUM(Q37:AB37)</f>
        <v>0</v>
      </c>
      <c r="AD37" s="35" t="e">
        <f>AC37*100/P37</f>
        <v>#DIV/0!</v>
      </c>
      <c r="AE37" s="35"/>
    </row>
    <row r="38" spans="1:31" s="42" customFormat="1" ht="25.5">
      <c r="A38" s="55">
        <v>754</v>
      </c>
      <c r="B38" s="55"/>
      <c r="C38" s="55"/>
      <c r="D38" s="38" t="s">
        <v>371</v>
      </c>
      <c r="E38" s="39">
        <f aca="true" t="shared" si="17" ref="E38:AB38">E39</f>
        <v>400</v>
      </c>
      <c r="F38" s="40">
        <f t="shared" si="17"/>
        <v>400</v>
      </c>
      <c r="G38" s="41">
        <f t="shared" si="17"/>
        <v>400</v>
      </c>
      <c r="H38" s="20"/>
      <c r="I38" s="40">
        <f t="shared" si="17"/>
        <v>400</v>
      </c>
      <c r="J38" s="41">
        <f t="shared" si="17"/>
        <v>0</v>
      </c>
      <c r="K38" s="41">
        <f t="shared" si="17"/>
        <v>0</v>
      </c>
      <c r="L38" s="41">
        <f t="shared" si="17"/>
        <v>0</v>
      </c>
      <c r="M38" s="41">
        <f t="shared" si="17"/>
        <v>0</v>
      </c>
      <c r="N38" s="41">
        <f t="shared" si="17"/>
        <v>0</v>
      </c>
      <c r="O38" s="41">
        <f t="shared" si="17"/>
        <v>0</v>
      </c>
      <c r="P38" s="40">
        <f t="shared" si="17"/>
        <v>400</v>
      </c>
      <c r="Q38" s="40">
        <f t="shared" si="17"/>
        <v>0</v>
      </c>
      <c r="R38" s="40">
        <f t="shared" si="17"/>
        <v>0</v>
      </c>
      <c r="S38" s="40">
        <f t="shared" si="17"/>
        <v>0</v>
      </c>
      <c r="T38" s="40">
        <f t="shared" si="17"/>
        <v>0</v>
      </c>
      <c r="U38" s="40">
        <f t="shared" si="17"/>
        <v>0</v>
      </c>
      <c r="V38" s="40">
        <f t="shared" si="17"/>
        <v>0</v>
      </c>
      <c r="W38" s="40">
        <f t="shared" si="17"/>
        <v>0</v>
      </c>
      <c r="X38" s="40">
        <f t="shared" si="17"/>
        <v>0</v>
      </c>
      <c r="Y38" s="40">
        <f t="shared" si="17"/>
        <v>0</v>
      </c>
      <c r="Z38" s="40">
        <f t="shared" si="17"/>
        <v>0</v>
      </c>
      <c r="AA38" s="40">
        <f t="shared" si="17"/>
        <v>0</v>
      </c>
      <c r="AB38" s="40">
        <f t="shared" si="17"/>
        <v>0</v>
      </c>
      <c r="AC38" s="40">
        <f>AC39</f>
        <v>0</v>
      </c>
      <c r="AD38" s="20">
        <f t="shared" si="2"/>
        <v>0</v>
      </c>
      <c r="AE38" s="20"/>
    </row>
    <row r="39" spans="1:31" s="42" customFormat="1" ht="16.5" customHeight="1">
      <c r="A39" s="43"/>
      <c r="B39" s="43">
        <v>75414</v>
      </c>
      <c r="C39" s="43"/>
      <c r="D39" s="45" t="s">
        <v>372</v>
      </c>
      <c r="E39" s="46">
        <f aca="true" t="shared" si="18" ref="E39:AB39">SUM(E40)</f>
        <v>400</v>
      </c>
      <c r="F39" s="48">
        <f t="shared" si="18"/>
        <v>400</v>
      </c>
      <c r="G39" s="49">
        <f t="shared" si="18"/>
        <v>400</v>
      </c>
      <c r="H39" s="47"/>
      <c r="I39" s="48">
        <f t="shared" si="18"/>
        <v>400</v>
      </c>
      <c r="J39" s="49">
        <f t="shared" si="18"/>
        <v>0</v>
      </c>
      <c r="K39" s="49">
        <f t="shared" si="18"/>
        <v>0</v>
      </c>
      <c r="L39" s="49">
        <f t="shared" si="18"/>
        <v>0</v>
      </c>
      <c r="M39" s="49">
        <f t="shared" si="18"/>
        <v>0</v>
      </c>
      <c r="N39" s="49">
        <f t="shared" si="18"/>
        <v>0</v>
      </c>
      <c r="O39" s="49">
        <f t="shared" si="18"/>
        <v>0</v>
      </c>
      <c r="P39" s="50">
        <f t="shared" si="18"/>
        <v>400</v>
      </c>
      <c r="Q39" s="48">
        <f t="shared" si="18"/>
        <v>0</v>
      </c>
      <c r="R39" s="48">
        <f t="shared" si="18"/>
        <v>0</v>
      </c>
      <c r="S39" s="48">
        <f t="shared" si="18"/>
        <v>0</v>
      </c>
      <c r="T39" s="48">
        <f t="shared" si="18"/>
        <v>0</v>
      </c>
      <c r="U39" s="48">
        <f t="shared" si="18"/>
        <v>0</v>
      </c>
      <c r="V39" s="48">
        <f t="shared" si="18"/>
        <v>0</v>
      </c>
      <c r="W39" s="48">
        <f t="shared" si="18"/>
        <v>0</v>
      </c>
      <c r="X39" s="48">
        <f t="shared" si="18"/>
        <v>0</v>
      </c>
      <c r="Y39" s="48">
        <f t="shared" si="18"/>
        <v>0</v>
      </c>
      <c r="Z39" s="48">
        <f t="shared" si="18"/>
        <v>0</v>
      </c>
      <c r="AA39" s="48">
        <f t="shared" si="18"/>
        <v>0</v>
      </c>
      <c r="AB39" s="48">
        <f t="shared" si="18"/>
        <v>0</v>
      </c>
      <c r="AC39" s="48">
        <f>SUM(AC40)</f>
        <v>0</v>
      </c>
      <c r="AD39" s="29">
        <f t="shared" si="2"/>
        <v>0</v>
      </c>
      <c r="AE39" s="29"/>
    </row>
    <row r="40" spans="1:31" s="42" customFormat="1" ht="55.5" customHeight="1">
      <c r="A40" s="43"/>
      <c r="B40" s="30"/>
      <c r="C40" s="30">
        <v>2010</v>
      </c>
      <c r="D40" s="32" t="s">
        <v>364</v>
      </c>
      <c r="E40" s="51">
        <v>400</v>
      </c>
      <c r="F40" s="52">
        <v>400</v>
      </c>
      <c r="G40" s="53">
        <v>400</v>
      </c>
      <c r="H40" s="34" t="s">
        <v>278</v>
      </c>
      <c r="I40" s="52">
        <v>400</v>
      </c>
      <c r="J40" s="53"/>
      <c r="K40" s="53"/>
      <c r="L40" s="53"/>
      <c r="M40" s="53"/>
      <c r="N40" s="53"/>
      <c r="O40" s="53"/>
      <c r="P40" s="33">
        <f>I40+J40+K40+L40+M40+N40+O40</f>
        <v>400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34">
        <f>SUM(Q40:AB40)</f>
        <v>0</v>
      </c>
      <c r="AD40" s="35">
        <f t="shared" si="2"/>
        <v>0</v>
      </c>
      <c r="AE40" s="54" t="s">
        <v>1045</v>
      </c>
    </row>
    <row r="41" spans="1:31" s="42" customFormat="1" ht="56.25" customHeight="1">
      <c r="A41" s="55">
        <v>756</v>
      </c>
      <c r="B41" s="55"/>
      <c r="C41" s="55"/>
      <c r="D41" s="38" t="s">
        <v>373</v>
      </c>
      <c r="E41" s="39">
        <f>E42+E52+E63+E69+E45</f>
        <v>6758136</v>
      </c>
      <c r="F41" s="40">
        <f>F42+F52+F63+F69+F45</f>
        <v>7083361</v>
      </c>
      <c r="G41" s="41">
        <f>G42+G52+G63+G69+G45</f>
        <v>7046800</v>
      </c>
      <c r="H41" s="20"/>
      <c r="I41" s="40">
        <f aca="true" t="shared" si="19" ref="I41:AB41">I42+I52+I63+I69+I45</f>
        <v>7046800</v>
      </c>
      <c r="J41" s="41">
        <f t="shared" si="19"/>
        <v>0</v>
      </c>
      <c r="K41" s="41">
        <f t="shared" si="19"/>
        <v>21596</v>
      </c>
      <c r="L41" s="41">
        <f t="shared" si="19"/>
        <v>15000</v>
      </c>
      <c r="M41" s="41">
        <f t="shared" si="19"/>
        <v>62500</v>
      </c>
      <c r="N41" s="41">
        <f t="shared" si="19"/>
        <v>0</v>
      </c>
      <c r="O41" s="41">
        <f t="shared" si="19"/>
        <v>0</v>
      </c>
      <c r="P41" s="40">
        <f t="shared" si="19"/>
        <v>7145896</v>
      </c>
      <c r="Q41" s="40">
        <f t="shared" si="19"/>
        <v>199341.09</v>
      </c>
      <c r="R41" s="40">
        <f t="shared" si="19"/>
        <v>460248.12</v>
      </c>
      <c r="S41" s="40">
        <f t="shared" si="19"/>
        <v>650004.2</v>
      </c>
      <c r="T41" s="40">
        <f>T42+T52+T63+T69+T45</f>
        <v>462839.23</v>
      </c>
      <c r="U41" s="40">
        <f t="shared" si="19"/>
        <v>731268.6299999999</v>
      </c>
      <c r="V41" s="40">
        <f t="shared" si="19"/>
        <v>360101.69</v>
      </c>
      <c r="W41" s="40">
        <f t="shared" si="19"/>
        <v>30092.53</v>
      </c>
      <c r="X41" s="40">
        <f t="shared" si="19"/>
        <v>0</v>
      </c>
      <c r="Y41" s="40">
        <f t="shared" si="19"/>
        <v>0</v>
      </c>
      <c r="Z41" s="40">
        <f t="shared" si="19"/>
        <v>0</v>
      </c>
      <c r="AA41" s="40">
        <f t="shared" si="19"/>
        <v>0</v>
      </c>
      <c r="AB41" s="40">
        <f t="shared" si="19"/>
        <v>0</v>
      </c>
      <c r="AC41" s="40">
        <f>AC42+AC52+AC63+AC69+AC45</f>
        <v>2893895.49</v>
      </c>
      <c r="AD41" s="20">
        <f t="shared" si="2"/>
        <v>40.49730768541831</v>
      </c>
      <c r="AE41" s="20"/>
    </row>
    <row r="42" spans="1:31" s="66" customFormat="1" ht="25.5">
      <c r="A42" s="63"/>
      <c r="B42" s="63">
        <v>75601</v>
      </c>
      <c r="C42" s="63"/>
      <c r="D42" s="64" t="s">
        <v>374</v>
      </c>
      <c r="E42" s="60">
        <f>E43+E44</f>
        <v>7100</v>
      </c>
      <c r="F42" s="61">
        <f>F43+F44</f>
        <v>7100</v>
      </c>
      <c r="G42" s="62">
        <f>G43+G44</f>
        <v>7100</v>
      </c>
      <c r="H42" s="29"/>
      <c r="I42" s="61">
        <f aca="true" t="shared" si="20" ref="I42:O42">I43+I44</f>
        <v>7100</v>
      </c>
      <c r="J42" s="62">
        <f t="shared" si="20"/>
        <v>0</v>
      </c>
      <c r="K42" s="62">
        <f t="shared" si="20"/>
        <v>0</v>
      </c>
      <c r="L42" s="62">
        <f t="shared" si="20"/>
        <v>0</v>
      </c>
      <c r="M42" s="62">
        <f t="shared" si="20"/>
        <v>0</v>
      </c>
      <c r="N42" s="62">
        <f t="shared" si="20"/>
        <v>0</v>
      </c>
      <c r="O42" s="62">
        <f t="shared" si="20"/>
        <v>0</v>
      </c>
      <c r="P42" s="50">
        <f>SUM(P43:P44)</f>
        <v>7100</v>
      </c>
      <c r="Q42" s="61">
        <f>Q43+Q44</f>
        <v>142</v>
      </c>
      <c r="R42" s="61">
        <f aca="true" t="shared" si="21" ref="R42:AB42">R43+R44</f>
        <v>67.4</v>
      </c>
      <c r="S42" s="61">
        <f t="shared" si="21"/>
        <v>471.6</v>
      </c>
      <c r="T42" s="61">
        <f t="shared" si="21"/>
        <v>203</v>
      </c>
      <c r="U42" s="61">
        <f t="shared" si="21"/>
        <v>322.8</v>
      </c>
      <c r="V42" s="61">
        <f t="shared" si="21"/>
        <v>600.7</v>
      </c>
      <c r="W42" s="61">
        <f t="shared" si="21"/>
        <v>120.7</v>
      </c>
      <c r="X42" s="61">
        <f t="shared" si="21"/>
        <v>0</v>
      </c>
      <c r="Y42" s="61">
        <f t="shared" si="21"/>
        <v>0</v>
      </c>
      <c r="Z42" s="61">
        <f t="shared" si="21"/>
        <v>0</v>
      </c>
      <c r="AA42" s="61">
        <f t="shared" si="21"/>
        <v>0</v>
      </c>
      <c r="AB42" s="61">
        <f t="shared" si="21"/>
        <v>0</v>
      </c>
      <c r="AC42" s="61">
        <f>AC43+AC44</f>
        <v>1928.2000000000003</v>
      </c>
      <c r="AD42" s="29">
        <f t="shared" si="2"/>
        <v>27.157746478873243</v>
      </c>
      <c r="AE42" s="29"/>
    </row>
    <row r="43" spans="1:31" s="42" customFormat="1" ht="33" customHeight="1">
      <c r="A43" s="43"/>
      <c r="B43" s="30"/>
      <c r="C43" s="31" t="s">
        <v>375</v>
      </c>
      <c r="D43" s="32" t="s">
        <v>376</v>
      </c>
      <c r="E43" s="51">
        <v>7000</v>
      </c>
      <c r="F43" s="52">
        <v>7000</v>
      </c>
      <c r="G43" s="53">
        <v>7000</v>
      </c>
      <c r="H43" s="34"/>
      <c r="I43" s="52">
        <v>7000</v>
      </c>
      <c r="J43" s="53"/>
      <c r="K43" s="53"/>
      <c r="L43" s="53"/>
      <c r="M43" s="53"/>
      <c r="N43" s="53"/>
      <c r="O43" s="53"/>
      <c r="P43" s="33">
        <f aca="true" t="shared" si="22" ref="P43:P71">I43+J43+K43+L43+M43+N43+O43</f>
        <v>7000</v>
      </c>
      <c r="Q43" s="52">
        <v>142</v>
      </c>
      <c r="R43" s="52">
        <v>67.4</v>
      </c>
      <c r="S43" s="52">
        <v>471.6</v>
      </c>
      <c r="T43" s="52">
        <v>204.4</v>
      </c>
      <c r="U43" s="52">
        <v>322.73</v>
      </c>
      <c r="V43" s="52">
        <v>600.7</v>
      </c>
      <c r="W43" s="52">
        <v>120.7</v>
      </c>
      <c r="X43" s="52"/>
      <c r="Y43" s="52"/>
      <c r="Z43" s="52"/>
      <c r="AA43" s="52"/>
      <c r="AB43" s="52"/>
      <c r="AC43" s="34">
        <f>SUM(Q43:AB43)</f>
        <v>1929.5300000000002</v>
      </c>
      <c r="AD43" s="35">
        <f t="shared" si="2"/>
        <v>27.564714285714288</v>
      </c>
      <c r="AE43" s="313" t="s">
        <v>1037</v>
      </c>
    </row>
    <row r="44" spans="1:31" s="42" customFormat="1" ht="45">
      <c r="A44" s="43"/>
      <c r="B44" s="30"/>
      <c r="C44" s="31" t="s">
        <v>357</v>
      </c>
      <c r="D44" s="32" t="s">
        <v>358</v>
      </c>
      <c r="E44" s="51">
        <v>100</v>
      </c>
      <c r="F44" s="52">
        <v>100</v>
      </c>
      <c r="G44" s="53">
        <v>100</v>
      </c>
      <c r="H44" s="34"/>
      <c r="I44" s="52">
        <v>100</v>
      </c>
      <c r="J44" s="53"/>
      <c r="K44" s="53"/>
      <c r="L44" s="53"/>
      <c r="M44" s="53"/>
      <c r="N44" s="53"/>
      <c r="O44" s="53"/>
      <c r="P44" s="33">
        <f t="shared" si="22"/>
        <v>100</v>
      </c>
      <c r="Q44" s="52"/>
      <c r="R44" s="52"/>
      <c r="S44" s="52"/>
      <c r="T44" s="52">
        <v>-1.4</v>
      </c>
      <c r="U44" s="52">
        <v>0.07</v>
      </c>
      <c r="V44" s="52"/>
      <c r="W44" s="52"/>
      <c r="X44" s="52"/>
      <c r="Y44" s="52"/>
      <c r="Z44" s="52"/>
      <c r="AA44" s="52"/>
      <c r="AB44" s="52"/>
      <c r="AC44" s="34">
        <f>SUM(Q44:AB44)</f>
        <v>-1.3299999999999998</v>
      </c>
      <c r="AD44" s="35">
        <f t="shared" si="2"/>
        <v>-1.3299999999999996</v>
      </c>
      <c r="AE44" s="313" t="s">
        <v>1046</v>
      </c>
    </row>
    <row r="45" spans="1:31" s="42" customFormat="1" ht="57" customHeight="1">
      <c r="A45" s="43"/>
      <c r="B45" s="43">
        <v>75615</v>
      </c>
      <c r="C45" s="43"/>
      <c r="D45" s="45" t="s">
        <v>613</v>
      </c>
      <c r="E45" s="46">
        <f>SUM(E46:E51)</f>
        <v>1964217</v>
      </c>
      <c r="F45" s="48">
        <f>SUM(F46:F51)</f>
        <v>2018829</v>
      </c>
      <c r="G45" s="49">
        <f>SUM(G46:G51)</f>
        <v>2014335</v>
      </c>
      <c r="H45" s="34"/>
      <c r="I45" s="48">
        <f aca="true" t="shared" si="23" ref="I45:AB45">SUM(I46:I51)</f>
        <v>2014335</v>
      </c>
      <c r="J45" s="49">
        <f t="shared" si="23"/>
        <v>0</v>
      </c>
      <c r="K45" s="49">
        <f t="shared" si="23"/>
        <v>0</v>
      </c>
      <c r="L45" s="49">
        <f t="shared" si="23"/>
        <v>0</v>
      </c>
      <c r="M45" s="49">
        <f t="shared" si="23"/>
        <v>0</v>
      </c>
      <c r="N45" s="49">
        <f t="shared" si="23"/>
        <v>0</v>
      </c>
      <c r="O45" s="49">
        <f t="shared" si="23"/>
        <v>0</v>
      </c>
      <c r="P45" s="71">
        <f t="shared" si="23"/>
        <v>2014335</v>
      </c>
      <c r="Q45" s="48">
        <f t="shared" si="23"/>
        <v>130333.01</v>
      </c>
      <c r="R45" s="48">
        <f t="shared" si="23"/>
        <v>140146.87</v>
      </c>
      <c r="S45" s="48">
        <f t="shared" si="23"/>
        <v>193736.69</v>
      </c>
      <c r="T45" s="48">
        <f t="shared" si="23"/>
        <v>135597.49</v>
      </c>
      <c r="U45" s="48">
        <f t="shared" si="23"/>
        <v>202888.69</v>
      </c>
      <c r="V45" s="48">
        <f t="shared" si="23"/>
        <v>125449.84000000001</v>
      </c>
      <c r="W45" s="48">
        <f t="shared" si="23"/>
        <v>0</v>
      </c>
      <c r="X45" s="48">
        <f t="shared" si="23"/>
        <v>0</v>
      </c>
      <c r="Y45" s="48">
        <f t="shared" si="23"/>
        <v>0</v>
      </c>
      <c r="Z45" s="48">
        <f t="shared" si="23"/>
        <v>0</v>
      </c>
      <c r="AA45" s="48">
        <f t="shared" si="23"/>
        <v>0</v>
      </c>
      <c r="AB45" s="48">
        <f t="shared" si="23"/>
        <v>0</v>
      </c>
      <c r="AC45" s="72">
        <f>SUM(AC46:AC51)</f>
        <v>928152.5900000001</v>
      </c>
      <c r="AD45" s="29">
        <f t="shared" si="2"/>
        <v>46.0773699508771</v>
      </c>
      <c r="AE45" s="29"/>
    </row>
    <row r="46" spans="1:31" s="42" customFormat="1" ht="45">
      <c r="A46" s="43"/>
      <c r="B46" s="30"/>
      <c r="C46" s="31" t="s">
        <v>614</v>
      </c>
      <c r="D46" s="32" t="s">
        <v>615</v>
      </c>
      <c r="E46" s="51">
        <v>1604617</v>
      </c>
      <c r="F46" s="52">
        <v>1651240</v>
      </c>
      <c r="G46" s="53">
        <v>1647421</v>
      </c>
      <c r="H46" s="34" t="s">
        <v>282</v>
      </c>
      <c r="I46" s="52">
        <v>1647421</v>
      </c>
      <c r="J46" s="53"/>
      <c r="K46" s="53"/>
      <c r="L46" s="53"/>
      <c r="M46" s="53"/>
      <c r="N46" s="53"/>
      <c r="O46" s="53"/>
      <c r="P46" s="33">
        <f t="shared" si="22"/>
        <v>1647421</v>
      </c>
      <c r="Q46" s="52">
        <v>126428.36</v>
      </c>
      <c r="R46" s="52">
        <v>124391.87</v>
      </c>
      <c r="S46" s="52">
        <v>128851.94</v>
      </c>
      <c r="T46" s="52">
        <v>131027.74</v>
      </c>
      <c r="U46" s="52">
        <v>136915.34</v>
      </c>
      <c r="V46" s="52">
        <v>124362.14</v>
      </c>
      <c r="W46" s="52"/>
      <c r="X46" s="52"/>
      <c r="Y46" s="52"/>
      <c r="Z46" s="52"/>
      <c r="AA46" s="52"/>
      <c r="AB46" s="52"/>
      <c r="AC46" s="34">
        <f aca="true" t="shared" si="24" ref="AC46:AC51">SUM(Q46:AB46)</f>
        <v>771977.39</v>
      </c>
      <c r="AD46" s="35">
        <f t="shared" si="2"/>
        <v>46.85975169674297</v>
      </c>
      <c r="AE46" s="442" t="s">
        <v>651</v>
      </c>
    </row>
    <row r="47" spans="1:31" s="42" customFormat="1" ht="33.75">
      <c r="A47" s="43"/>
      <c r="B47" s="30"/>
      <c r="C47" s="31" t="s">
        <v>616</v>
      </c>
      <c r="D47" s="32" t="s">
        <v>617</v>
      </c>
      <c r="E47" s="51">
        <v>289566</v>
      </c>
      <c r="F47" s="52">
        <v>289566</v>
      </c>
      <c r="G47" s="53">
        <v>289566</v>
      </c>
      <c r="H47" s="34" t="s">
        <v>283</v>
      </c>
      <c r="I47" s="52">
        <v>289566</v>
      </c>
      <c r="J47" s="53"/>
      <c r="K47" s="53"/>
      <c r="L47" s="53"/>
      <c r="M47" s="53"/>
      <c r="N47" s="53"/>
      <c r="O47" s="53"/>
      <c r="P47" s="33">
        <f t="shared" si="22"/>
        <v>289566</v>
      </c>
      <c r="Q47" s="52">
        <v>1091.65</v>
      </c>
      <c r="R47" s="52"/>
      <c r="S47" s="52">
        <v>61692.75</v>
      </c>
      <c r="T47" s="52">
        <v>546.75</v>
      </c>
      <c r="U47" s="52">
        <v>63033.55</v>
      </c>
      <c r="V47" s="51">
        <v>-1677.9</v>
      </c>
      <c r="W47" s="52"/>
      <c r="X47" s="52"/>
      <c r="Y47" s="52"/>
      <c r="Z47" s="52"/>
      <c r="AA47" s="52"/>
      <c r="AB47" s="52"/>
      <c r="AC47" s="34">
        <f t="shared" si="24"/>
        <v>124686.80000000002</v>
      </c>
      <c r="AD47" s="35">
        <f t="shared" si="2"/>
        <v>43.059889627925934</v>
      </c>
      <c r="AE47" s="442" t="s">
        <v>652</v>
      </c>
    </row>
    <row r="48" spans="1:31" s="42" customFormat="1" ht="18" customHeight="1">
      <c r="A48" s="43"/>
      <c r="B48" s="30"/>
      <c r="C48" s="31" t="s">
        <v>421</v>
      </c>
      <c r="D48" s="32" t="s">
        <v>422</v>
      </c>
      <c r="E48" s="51">
        <v>27369</v>
      </c>
      <c r="F48" s="52">
        <v>29858</v>
      </c>
      <c r="G48" s="53">
        <v>29858</v>
      </c>
      <c r="H48" s="34" t="s">
        <v>284</v>
      </c>
      <c r="I48" s="52">
        <v>29858</v>
      </c>
      <c r="J48" s="53"/>
      <c r="K48" s="53"/>
      <c r="L48" s="53"/>
      <c r="M48" s="53"/>
      <c r="N48" s="53"/>
      <c r="O48" s="53"/>
      <c r="P48" s="33">
        <f t="shared" si="22"/>
        <v>29858</v>
      </c>
      <c r="Q48" s="52">
        <v>2813</v>
      </c>
      <c r="R48" s="52">
        <v>2490</v>
      </c>
      <c r="S48" s="52">
        <v>2490</v>
      </c>
      <c r="T48" s="52">
        <v>2490</v>
      </c>
      <c r="U48" s="52">
        <v>2490</v>
      </c>
      <c r="V48" s="52">
        <v>2490</v>
      </c>
      <c r="W48" s="52"/>
      <c r="X48" s="52"/>
      <c r="Y48" s="52"/>
      <c r="Z48" s="52"/>
      <c r="AA48" s="52"/>
      <c r="AB48" s="52"/>
      <c r="AC48" s="34">
        <f t="shared" si="24"/>
        <v>15263</v>
      </c>
      <c r="AD48" s="35">
        <f t="shared" si="2"/>
        <v>51.118628173353876</v>
      </c>
      <c r="AE48" s="35"/>
    </row>
    <row r="49" spans="1:31" s="42" customFormat="1" ht="33.75">
      <c r="A49" s="43"/>
      <c r="B49" s="30"/>
      <c r="C49" s="31" t="s">
        <v>423</v>
      </c>
      <c r="D49" s="32" t="s">
        <v>424</v>
      </c>
      <c r="E49" s="51">
        <v>27665</v>
      </c>
      <c r="F49" s="52">
        <v>28165</v>
      </c>
      <c r="G49" s="53">
        <v>27490</v>
      </c>
      <c r="H49" s="34" t="s">
        <v>285</v>
      </c>
      <c r="I49" s="52">
        <v>27490</v>
      </c>
      <c r="J49" s="53"/>
      <c r="K49" s="53"/>
      <c r="L49" s="53"/>
      <c r="M49" s="53"/>
      <c r="N49" s="53"/>
      <c r="O49" s="53"/>
      <c r="P49" s="33">
        <f t="shared" si="22"/>
        <v>27490</v>
      </c>
      <c r="Q49" s="52"/>
      <c r="R49" s="52">
        <v>12469</v>
      </c>
      <c r="S49" s="52">
        <v>630</v>
      </c>
      <c r="T49" s="52">
        <v>1150</v>
      </c>
      <c r="U49" s="52"/>
      <c r="V49" s="52"/>
      <c r="W49" s="52"/>
      <c r="X49" s="52"/>
      <c r="Y49" s="52"/>
      <c r="Z49" s="52"/>
      <c r="AA49" s="52"/>
      <c r="AB49" s="52"/>
      <c r="AC49" s="34">
        <f t="shared" si="24"/>
        <v>14249</v>
      </c>
      <c r="AD49" s="35">
        <f t="shared" si="2"/>
        <v>51.83339396144052</v>
      </c>
      <c r="AE49" s="442" t="s">
        <v>653</v>
      </c>
    </row>
    <row r="50" spans="1:31" s="42" customFormat="1" ht="33.75">
      <c r="A50" s="43"/>
      <c r="B50" s="30"/>
      <c r="C50" s="31" t="s">
        <v>425</v>
      </c>
      <c r="D50" s="32" t="s">
        <v>426</v>
      </c>
      <c r="E50" s="51">
        <v>10000</v>
      </c>
      <c r="F50" s="52">
        <v>15000</v>
      </c>
      <c r="G50" s="53">
        <v>15000</v>
      </c>
      <c r="H50" s="34"/>
      <c r="I50" s="52">
        <v>15000</v>
      </c>
      <c r="J50" s="53"/>
      <c r="K50" s="53"/>
      <c r="L50" s="53"/>
      <c r="M50" s="53"/>
      <c r="N50" s="53"/>
      <c r="O50" s="53"/>
      <c r="P50" s="33">
        <f t="shared" si="22"/>
        <v>15000</v>
      </c>
      <c r="Q50" s="52"/>
      <c r="R50" s="52">
        <v>760</v>
      </c>
      <c r="S50" s="52">
        <v>72</v>
      </c>
      <c r="T50" s="52">
        <v>182</v>
      </c>
      <c r="U50" s="52"/>
      <c r="V50" s="52">
        <v>200</v>
      </c>
      <c r="W50" s="52"/>
      <c r="X50" s="52"/>
      <c r="Y50" s="52"/>
      <c r="Z50" s="52"/>
      <c r="AA50" s="52"/>
      <c r="AB50" s="52"/>
      <c r="AC50" s="34">
        <f t="shared" si="24"/>
        <v>1214</v>
      </c>
      <c r="AD50" s="35">
        <f t="shared" si="2"/>
        <v>8.093333333333334</v>
      </c>
      <c r="AE50" s="54" t="s">
        <v>1047</v>
      </c>
    </row>
    <row r="51" spans="1:31" s="42" customFormat="1" ht="25.5">
      <c r="A51" s="43"/>
      <c r="B51" s="30"/>
      <c r="C51" s="31" t="s">
        <v>357</v>
      </c>
      <c r="D51" s="32" t="s">
        <v>358</v>
      </c>
      <c r="E51" s="51">
        <v>5000</v>
      </c>
      <c r="F51" s="52">
        <v>5000</v>
      </c>
      <c r="G51" s="53">
        <v>5000</v>
      </c>
      <c r="H51" s="34"/>
      <c r="I51" s="52">
        <v>5000</v>
      </c>
      <c r="J51" s="53"/>
      <c r="K51" s="53"/>
      <c r="L51" s="53"/>
      <c r="M51" s="53"/>
      <c r="N51" s="53"/>
      <c r="O51" s="53"/>
      <c r="P51" s="33">
        <f t="shared" si="22"/>
        <v>5000</v>
      </c>
      <c r="Q51" s="52"/>
      <c r="R51" s="52">
        <v>36</v>
      </c>
      <c r="S51" s="52"/>
      <c r="T51" s="52">
        <v>201</v>
      </c>
      <c r="U51" s="52">
        <f>387+62.8</f>
        <v>449.8</v>
      </c>
      <c r="V51" s="52">
        <f>58+17.6</f>
        <v>75.6</v>
      </c>
      <c r="W51" s="52"/>
      <c r="X51" s="52"/>
      <c r="Y51" s="52"/>
      <c r="Z51" s="52"/>
      <c r="AA51" s="52"/>
      <c r="AB51" s="52"/>
      <c r="AC51" s="34">
        <f t="shared" si="24"/>
        <v>762.4</v>
      </c>
      <c r="AD51" s="35">
        <f t="shared" si="2"/>
        <v>15.248</v>
      </c>
      <c r="AE51" s="313" t="s">
        <v>663</v>
      </c>
    </row>
    <row r="52" spans="1:32" s="42" customFormat="1" ht="69" customHeight="1">
      <c r="A52" s="43"/>
      <c r="B52" s="43">
        <v>75616</v>
      </c>
      <c r="C52" s="43"/>
      <c r="D52" s="45" t="s">
        <v>427</v>
      </c>
      <c r="E52" s="46">
        <f>SUM(E53:E62)</f>
        <v>1253131</v>
      </c>
      <c r="F52" s="48">
        <f>SUM(F53:F62)</f>
        <v>1323744</v>
      </c>
      <c r="G52" s="49">
        <f>SUM(G53:G62)</f>
        <v>1296777</v>
      </c>
      <c r="H52" s="47"/>
      <c r="I52" s="48">
        <f aca="true" t="shared" si="25" ref="I52:AB52">SUM(I53:I62)</f>
        <v>1296777</v>
      </c>
      <c r="J52" s="49">
        <f t="shared" si="25"/>
        <v>0</v>
      </c>
      <c r="K52" s="49">
        <f t="shared" si="25"/>
        <v>0</v>
      </c>
      <c r="L52" s="49">
        <f t="shared" si="25"/>
        <v>0</v>
      </c>
      <c r="M52" s="49">
        <f t="shared" si="25"/>
        <v>7500</v>
      </c>
      <c r="N52" s="49">
        <f t="shared" si="25"/>
        <v>0</v>
      </c>
      <c r="O52" s="49">
        <f t="shared" si="25"/>
        <v>0</v>
      </c>
      <c r="P52" s="50">
        <f t="shared" si="25"/>
        <v>1304277</v>
      </c>
      <c r="Q52" s="48">
        <f t="shared" si="25"/>
        <v>17797.429999999997</v>
      </c>
      <c r="R52" s="48">
        <f t="shared" si="25"/>
        <v>79719.35</v>
      </c>
      <c r="S52" s="48">
        <f t="shared" si="25"/>
        <v>286749.34</v>
      </c>
      <c r="T52" s="48">
        <f t="shared" si="25"/>
        <v>48984.380000000005</v>
      </c>
      <c r="U52" s="48">
        <f t="shared" si="25"/>
        <v>230201.21000000002</v>
      </c>
      <c r="V52" s="48">
        <f t="shared" si="25"/>
        <v>58794.58</v>
      </c>
      <c r="W52" s="48">
        <f t="shared" si="25"/>
        <v>2427.02</v>
      </c>
      <c r="X52" s="48">
        <f t="shared" si="25"/>
        <v>0</v>
      </c>
      <c r="Y52" s="48">
        <f t="shared" si="25"/>
        <v>0</v>
      </c>
      <c r="Z52" s="48">
        <f t="shared" si="25"/>
        <v>0</v>
      </c>
      <c r="AA52" s="48">
        <f t="shared" si="25"/>
        <v>0</v>
      </c>
      <c r="AB52" s="48">
        <f t="shared" si="25"/>
        <v>0</v>
      </c>
      <c r="AC52" s="48">
        <f>SUM(AC53:AC62)</f>
        <v>724673.3100000003</v>
      </c>
      <c r="AD52" s="29">
        <f t="shared" si="2"/>
        <v>55.5613040788115</v>
      </c>
      <c r="AE52" s="29"/>
      <c r="AF52" s="73"/>
    </row>
    <row r="53" spans="1:31" s="42" customFormat="1" ht="56.25">
      <c r="A53" s="43"/>
      <c r="B53" s="43"/>
      <c r="C53" s="31" t="s">
        <v>614</v>
      </c>
      <c r="D53" s="32" t="s">
        <v>615</v>
      </c>
      <c r="E53" s="51">
        <v>709831</v>
      </c>
      <c r="F53" s="52">
        <v>770130</v>
      </c>
      <c r="G53" s="53">
        <v>741765</v>
      </c>
      <c r="H53" s="34" t="s">
        <v>282</v>
      </c>
      <c r="I53" s="52">
        <v>741765</v>
      </c>
      <c r="J53" s="53"/>
      <c r="K53" s="53"/>
      <c r="L53" s="53"/>
      <c r="M53" s="53"/>
      <c r="N53" s="53"/>
      <c r="O53" s="53"/>
      <c r="P53" s="33">
        <f t="shared" si="22"/>
        <v>741765</v>
      </c>
      <c r="Q53" s="52">
        <v>3991.54</v>
      </c>
      <c r="R53" s="52">
        <v>28857.69</v>
      </c>
      <c r="S53" s="52">
        <v>189490.59</v>
      </c>
      <c r="T53" s="52">
        <v>11354.84</v>
      </c>
      <c r="U53" s="52">
        <v>135011.23</v>
      </c>
      <c r="V53" s="52">
        <v>26087.52</v>
      </c>
      <c r="W53" s="52"/>
      <c r="X53" s="52"/>
      <c r="Y53" s="52"/>
      <c r="Z53" s="52"/>
      <c r="AA53" s="52"/>
      <c r="AB53" s="52"/>
      <c r="AC53" s="34">
        <f aca="true" t="shared" si="26" ref="AC53:AC71">SUM(Q53:AB53)</f>
        <v>394793.41000000003</v>
      </c>
      <c r="AD53" s="35">
        <f t="shared" si="2"/>
        <v>53.22351553389551</v>
      </c>
      <c r="AE53" s="442" t="s">
        <v>442</v>
      </c>
    </row>
    <row r="54" spans="1:31" s="42" customFormat="1" ht="45">
      <c r="A54" s="43"/>
      <c r="B54" s="43"/>
      <c r="C54" s="31" t="s">
        <v>616</v>
      </c>
      <c r="D54" s="32" t="s">
        <v>617</v>
      </c>
      <c r="E54" s="51">
        <v>345413</v>
      </c>
      <c r="F54" s="52">
        <v>344848</v>
      </c>
      <c r="G54" s="53">
        <v>344931</v>
      </c>
      <c r="H54" s="34" t="s">
        <v>283</v>
      </c>
      <c r="I54" s="52">
        <v>344931</v>
      </c>
      <c r="J54" s="53"/>
      <c r="K54" s="53"/>
      <c r="L54" s="53"/>
      <c r="M54" s="53"/>
      <c r="N54" s="53"/>
      <c r="O54" s="53"/>
      <c r="P54" s="33">
        <f t="shared" si="22"/>
        <v>344931</v>
      </c>
      <c r="Q54" s="52">
        <v>2503</v>
      </c>
      <c r="R54" s="52">
        <v>21334.43</v>
      </c>
      <c r="S54" s="52">
        <v>74159.79</v>
      </c>
      <c r="T54" s="52">
        <v>4945.82</v>
      </c>
      <c r="U54" s="52">
        <v>70722.4</v>
      </c>
      <c r="V54" s="52">
        <v>18317.26</v>
      </c>
      <c r="W54" s="52"/>
      <c r="X54" s="52"/>
      <c r="Y54" s="52"/>
      <c r="Z54" s="52"/>
      <c r="AA54" s="52"/>
      <c r="AB54" s="52"/>
      <c r="AC54" s="34">
        <f t="shared" si="26"/>
        <v>191982.7</v>
      </c>
      <c r="AD54" s="35">
        <f t="shared" si="2"/>
        <v>55.658291078505556</v>
      </c>
      <c r="AE54" s="442" t="s">
        <v>654</v>
      </c>
    </row>
    <row r="55" spans="1:31" s="42" customFormat="1" ht="17.25" customHeight="1">
      <c r="A55" s="43"/>
      <c r="B55" s="43"/>
      <c r="C55" s="31" t="s">
        <v>421</v>
      </c>
      <c r="D55" s="32" t="s">
        <v>422</v>
      </c>
      <c r="E55" s="51">
        <v>1037</v>
      </c>
      <c r="F55" s="52">
        <v>1131</v>
      </c>
      <c r="G55" s="53">
        <v>1131</v>
      </c>
      <c r="H55" s="34" t="s">
        <v>284</v>
      </c>
      <c r="I55" s="52">
        <v>1131</v>
      </c>
      <c r="J55" s="53"/>
      <c r="K55" s="53"/>
      <c r="L55" s="53"/>
      <c r="M55" s="53"/>
      <c r="N55" s="53"/>
      <c r="O55" s="53"/>
      <c r="P55" s="33">
        <f t="shared" si="22"/>
        <v>1131</v>
      </c>
      <c r="Q55" s="52"/>
      <c r="R55" s="52">
        <v>26.05</v>
      </c>
      <c r="S55" s="52">
        <v>298.27</v>
      </c>
      <c r="T55" s="52">
        <v>17.59</v>
      </c>
      <c r="U55" s="52">
        <v>257.98</v>
      </c>
      <c r="V55" s="52">
        <v>87.88</v>
      </c>
      <c r="W55" s="52"/>
      <c r="X55" s="52"/>
      <c r="Y55" s="52"/>
      <c r="Z55" s="52"/>
      <c r="AA55" s="52"/>
      <c r="AB55" s="52"/>
      <c r="AC55" s="34">
        <f t="shared" si="26"/>
        <v>687.77</v>
      </c>
      <c r="AD55" s="35">
        <f t="shared" si="2"/>
        <v>60.81078691423519</v>
      </c>
      <c r="AE55" s="35"/>
    </row>
    <row r="56" spans="1:31" s="42" customFormat="1" ht="56.25">
      <c r="A56" s="43"/>
      <c r="B56" s="43"/>
      <c r="C56" s="31" t="s">
        <v>423</v>
      </c>
      <c r="D56" s="32" t="s">
        <v>424</v>
      </c>
      <c r="E56" s="51">
        <v>64850</v>
      </c>
      <c r="F56" s="52">
        <v>65135</v>
      </c>
      <c r="G56" s="53">
        <v>66450</v>
      </c>
      <c r="H56" s="34" t="s">
        <v>285</v>
      </c>
      <c r="I56" s="52">
        <v>66450</v>
      </c>
      <c r="J56" s="53"/>
      <c r="K56" s="53"/>
      <c r="L56" s="53"/>
      <c r="M56" s="53">
        <v>3000</v>
      </c>
      <c r="N56" s="53"/>
      <c r="O56" s="53"/>
      <c r="P56" s="33">
        <f t="shared" si="22"/>
        <v>69450</v>
      </c>
      <c r="Q56" s="52">
        <v>2906.6</v>
      </c>
      <c r="R56" s="52">
        <v>25162.5</v>
      </c>
      <c r="S56" s="52">
        <v>9054.3</v>
      </c>
      <c r="T56" s="52">
        <v>4353.9</v>
      </c>
      <c r="U56" s="52">
        <v>3410</v>
      </c>
      <c r="V56" s="52">
        <v>1040</v>
      </c>
      <c r="W56" s="52"/>
      <c r="X56" s="52"/>
      <c r="Y56" s="52"/>
      <c r="Z56" s="52"/>
      <c r="AA56" s="52"/>
      <c r="AB56" s="52"/>
      <c r="AC56" s="34">
        <f t="shared" si="26"/>
        <v>45927.299999999996</v>
      </c>
      <c r="AD56" s="35">
        <f t="shared" si="2"/>
        <v>66.13002159827214</v>
      </c>
      <c r="AE56" s="442" t="s">
        <v>655</v>
      </c>
    </row>
    <row r="57" spans="1:31" s="42" customFormat="1" ht="27" customHeight="1">
      <c r="A57" s="43"/>
      <c r="B57" s="30"/>
      <c r="C57" s="31" t="s">
        <v>428</v>
      </c>
      <c r="D57" s="32" t="s">
        <v>429</v>
      </c>
      <c r="E57" s="51">
        <v>1000</v>
      </c>
      <c r="F57" s="52">
        <v>1500</v>
      </c>
      <c r="G57" s="53">
        <v>1500</v>
      </c>
      <c r="H57" s="34"/>
      <c r="I57" s="52">
        <v>1500</v>
      </c>
      <c r="J57" s="53"/>
      <c r="K57" s="53"/>
      <c r="L57" s="53"/>
      <c r="M57" s="53"/>
      <c r="N57" s="53"/>
      <c r="O57" s="53"/>
      <c r="P57" s="33">
        <f t="shared" si="22"/>
        <v>1500</v>
      </c>
      <c r="Q57" s="52">
        <v>454.8</v>
      </c>
      <c r="R57" s="52">
        <v>-1.4</v>
      </c>
      <c r="S57" s="52"/>
      <c r="T57" s="52"/>
      <c r="U57" s="52">
        <v>293.9</v>
      </c>
      <c r="V57" s="52">
        <v>82</v>
      </c>
      <c r="W57" s="52"/>
      <c r="X57" s="52"/>
      <c r="Y57" s="52"/>
      <c r="Z57" s="52"/>
      <c r="AA57" s="52"/>
      <c r="AB57" s="52"/>
      <c r="AC57" s="34">
        <f t="shared" si="26"/>
        <v>829.3</v>
      </c>
      <c r="AD57" s="35">
        <f t="shared" si="2"/>
        <v>55.28666666666667</v>
      </c>
      <c r="AE57" s="313" t="s">
        <v>187</v>
      </c>
    </row>
    <row r="58" spans="1:31" s="42" customFormat="1" ht="23.25" customHeight="1">
      <c r="A58" s="43"/>
      <c r="B58" s="30"/>
      <c r="C58" s="31" t="s">
        <v>430</v>
      </c>
      <c r="D58" s="32" t="s">
        <v>431</v>
      </c>
      <c r="E58" s="51">
        <v>10000</v>
      </c>
      <c r="F58" s="52">
        <v>10000</v>
      </c>
      <c r="G58" s="53">
        <v>10000</v>
      </c>
      <c r="H58" s="34" t="s">
        <v>286</v>
      </c>
      <c r="I58" s="52">
        <v>10000</v>
      </c>
      <c r="J58" s="53"/>
      <c r="K58" s="53"/>
      <c r="L58" s="53"/>
      <c r="M58" s="53">
        <v>4500</v>
      </c>
      <c r="N58" s="53"/>
      <c r="O58" s="53"/>
      <c r="P58" s="33">
        <f t="shared" si="22"/>
        <v>14500</v>
      </c>
      <c r="Q58" s="52"/>
      <c r="R58" s="52"/>
      <c r="S58" s="52">
        <v>3150</v>
      </c>
      <c r="T58" s="52">
        <v>6750</v>
      </c>
      <c r="U58" s="52">
        <v>4500</v>
      </c>
      <c r="V58" s="52">
        <v>50</v>
      </c>
      <c r="W58" s="52"/>
      <c r="X58" s="52"/>
      <c r="Y58" s="52"/>
      <c r="Z58" s="52"/>
      <c r="AA58" s="52"/>
      <c r="AB58" s="52"/>
      <c r="AC58" s="34">
        <f t="shared" si="26"/>
        <v>14450</v>
      </c>
      <c r="AD58" s="35">
        <f t="shared" si="2"/>
        <v>99.65517241379311</v>
      </c>
      <c r="AE58" s="54" t="s">
        <v>431</v>
      </c>
    </row>
    <row r="59" spans="1:31" s="42" customFormat="1" ht="56.25">
      <c r="A59" s="43"/>
      <c r="B59" s="30"/>
      <c r="C59" s="31" t="s">
        <v>432</v>
      </c>
      <c r="D59" s="32" t="s">
        <v>433</v>
      </c>
      <c r="E59" s="51">
        <v>20000</v>
      </c>
      <c r="F59" s="52">
        <v>25000</v>
      </c>
      <c r="G59" s="53">
        <v>25000</v>
      </c>
      <c r="H59" s="34" t="s">
        <v>659</v>
      </c>
      <c r="I59" s="52">
        <v>25000</v>
      </c>
      <c r="J59" s="53"/>
      <c r="K59" s="53"/>
      <c r="L59" s="53"/>
      <c r="M59" s="53"/>
      <c r="N59" s="53"/>
      <c r="O59" s="53"/>
      <c r="P59" s="33">
        <f t="shared" si="22"/>
        <v>25000</v>
      </c>
      <c r="Q59" s="52">
        <v>460</v>
      </c>
      <c r="R59" s="52">
        <v>935</v>
      </c>
      <c r="S59" s="52">
        <v>1830</v>
      </c>
      <c r="T59" s="52">
        <v>1900</v>
      </c>
      <c r="U59" s="52">
        <v>2400</v>
      </c>
      <c r="V59" s="52">
        <v>1910</v>
      </c>
      <c r="W59" s="52"/>
      <c r="X59" s="52"/>
      <c r="Y59" s="52"/>
      <c r="Z59" s="52"/>
      <c r="AA59" s="52"/>
      <c r="AB59" s="52"/>
      <c r="AC59" s="34">
        <f t="shared" si="26"/>
        <v>9435</v>
      </c>
      <c r="AD59" s="35">
        <f t="shared" si="2"/>
        <v>37.74</v>
      </c>
      <c r="AE59" s="54" t="s">
        <v>1048</v>
      </c>
    </row>
    <row r="60" spans="1:31" s="42" customFormat="1" ht="29.25" customHeight="1">
      <c r="A60" s="30"/>
      <c r="B60" s="30"/>
      <c r="C60" s="31" t="s">
        <v>660</v>
      </c>
      <c r="D60" s="32" t="s">
        <v>661</v>
      </c>
      <c r="E60" s="51">
        <v>6000</v>
      </c>
      <c r="F60" s="52">
        <v>6000</v>
      </c>
      <c r="G60" s="53">
        <v>6000</v>
      </c>
      <c r="H60" s="34" t="s">
        <v>662</v>
      </c>
      <c r="I60" s="52">
        <v>6000</v>
      </c>
      <c r="J60" s="53"/>
      <c r="K60" s="53"/>
      <c r="L60" s="53"/>
      <c r="M60" s="53"/>
      <c r="N60" s="53"/>
      <c r="O60" s="53"/>
      <c r="P60" s="33">
        <f t="shared" si="22"/>
        <v>6000</v>
      </c>
      <c r="Q60" s="52"/>
      <c r="R60" s="52">
        <v>150</v>
      </c>
      <c r="S60" s="52">
        <v>450</v>
      </c>
      <c r="T60" s="52">
        <v>400</v>
      </c>
      <c r="U60" s="52">
        <v>850</v>
      </c>
      <c r="V60" s="52">
        <v>400</v>
      </c>
      <c r="W60" s="52"/>
      <c r="X60" s="52"/>
      <c r="Y60" s="52"/>
      <c r="Z60" s="52"/>
      <c r="AA60" s="52"/>
      <c r="AB60" s="52"/>
      <c r="AC60" s="34">
        <f t="shared" si="26"/>
        <v>2250</v>
      </c>
      <c r="AD60" s="35">
        <f t="shared" si="2"/>
        <v>37.5</v>
      </c>
      <c r="AE60" s="315" t="s">
        <v>1049</v>
      </c>
    </row>
    <row r="61" spans="1:31" s="42" customFormat="1" ht="22.5">
      <c r="A61" s="43"/>
      <c r="B61" s="30"/>
      <c r="C61" s="31" t="s">
        <v>425</v>
      </c>
      <c r="D61" s="32" t="s">
        <v>426</v>
      </c>
      <c r="E61" s="51">
        <v>85000</v>
      </c>
      <c r="F61" s="52">
        <v>90000</v>
      </c>
      <c r="G61" s="53">
        <v>90000</v>
      </c>
      <c r="H61" s="34"/>
      <c r="I61" s="52">
        <v>90000</v>
      </c>
      <c r="J61" s="53"/>
      <c r="K61" s="53"/>
      <c r="L61" s="53"/>
      <c r="M61" s="53"/>
      <c r="N61" s="53"/>
      <c r="O61" s="53"/>
      <c r="P61" s="33">
        <f t="shared" si="22"/>
        <v>90000</v>
      </c>
      <c r="Q61" s="52">
        <v>6613.9</v>
      </c>
      <c r="R61" s="52">
        <v>2266.5</v>
      </c>
      <c r="S61" s="52">
        <v>7674</v>
      </c>
      <c r="T61" s="52">
        <v>18387.15</v>
      </c>
      <c r="U61" s="52">
        <v>12177.1</v>
      </c>
      <c r="V61" s="52">
        <f>8683.23+560</f>
        <v>9243.23</v>
      </c>
      <c r="W61" s="52">
        <v>2427.02</v>
      </c>
      <c r="X61" s="52"/>
      <c r="Y61" s="52"/>
      <c r="Z61" s="52"/>
      <c r="AA61" s="52"/>
      <c r="AB61" s="52"/>
      <c r="AC61" s="34">
        <f t="shared" si="26"/>
        <v>58788.9</v>
      </c>
      <c r="AD61" s="35">
        <f t="shared" si="2"/>
        <v>65.321</v>
      </c>
      <c r="AE61" s="54" t="s">
        <v>656</v>
      </c>
    </row>
    <row r="62" spans="1:31" s="42" customFormat="1" ht="25.5">
      <c r="A62" s="43"/>
      <c r="B62" s="30"/>
      <c r="C62" s="31" t="s">
        <v>357</v>
      </c>
      <c r="D62" s="32" t="s">
        <v>358</v>
      </c>
      <c r="E62" s="51">
        <v>10000</v>
      </c>
      <c r="F62" s="52">
        <v>10000</v>
      </c>
      <c r="G62" s="53">
        <v>10000</v>
      </c>
      <c r="H62" s="34" t="s">
        <v>663</v>
      </c>
      <c r="I62" s="52">
        <v>10000</v>
      </c>
      <c r="J62" s="53"/>
      <c r="K62" s="53"/>
      <c r="L62" s="53"/>
      <c r="M62" s="53"/>
      <c r="N62" s="53"/>
      <c r="O62" s="53"/>
      <c r="P62" s="33">
        <f t="shared" si="22"/>
        <v>10000</v>
      </c>
      <c r="Q62" s="52">
        <f>583.54+4.05+280</f>
        <v>867.5899999999999</v>
      </c>
      <c r="R62" s="52">
        <f>868.58+120</f>
        <v>988.58</v>
      </c>
      <c r="S62" s="52">
        <f>402.39+240</f>
        <v>642.39</v>
      </c>
      <c r="T62" s="52">
        <f>708.68+26.4+140</f>
        <v>875.0799999999999</v>
      </c>
      <c r="U62" s="52">
        <f>425.8+152.8</f>
        <v>578.6</v>
      </c>
      <c r="V62" s="52">
        <f>503.09+1073.6</f>
        <v>1576.6899999999998</v>
      </c>
      <c r="W62" s="52"/>
      <c r="X62" s="52"/>
      <c r="Y62" s="52"/>
      <c r="Z62" s="52"/>
      <c r="AA62" s="52"/>
      <c r="AB62" s="52"/>
      <c r="AC62" s="34">
        <f t="shared" si="26"/>
        <v>5528.929999999999</v>
      </c>
      <c r="AD62" s="35">
        <f t="shared" si="2"/>
        <v>55.28929999999999</v>
      </c>
      <c r="AE62" s="54" t="s">
        <v>663</v>
      </c>
    </row>
    <row r="63" spans="1:31" s="42" customFormat="1" ht="38.25">
      <c r="A63" s="43"/>
      <c r="B63" s="43">
        <v>75618</v>
      </c>
      <c r="C63" s="43"/>
      <c r="D63" s="45" t="s">
        <v>88</v>
      </c>
      <c r="E63" s="46">
        <f>SUM(E64:E68)</f>
        <v>1144800</v>
      </c>
      <c r="F63" s="48">
        <f>SUM(F64:F68)</f>
        <v>1244800</v>
      </c>
      <c r="G63" s="49">
        <f>SUM(G64:G68)</f>
        <v>1244800</v>
      </c>
      <c r="H63" s="47"/>
      <c r="I63" s="48">
        <f aca="true" t="shared" si="27" ref="I63:AB63">SUM(I64:I68)</f>
        <v>1244800</v>
      </c>
      <c r="J63" s="49">
        <f t="shared" si="27"/>
        <v>0</v>
      </c>
      <c r="K63" s="49">
        <f t="shared" si="27"/>
        <v>0</v>
      </c>
      <c r="L63" s="49">
        <f t="shared" si="27"/>
        <v>15000</v>
      </c>
      <c r="M63" s="49">
        <f t="shared" si="27"/>
        <v>0</v>
      </c>
      <c r="N63" s="49">
        <f t="shared" si="27"/>
        <v>0</v>
      </c>
      <c r="O63" s="49">
        <f t="shared" si="27"/>
        <v>0</v>
      </c>
      <c r="P63" s="50">
        <f t="shared" si="27"/>
        <v>1259800</v>
      </c>
      <c r="Q63" s="48">
        <f t="shared" si="27"/>
        <v>51068.65</v>
      </c>
      <c r="R63" s="48">
        <f t="shared" si="27"/>
        <v>10311.04</v>
      </c>
      <c r="S63" s="48">
        <f t="shared" si="27"/>
        <v>32619.48</v>
      </c>
      <c r="T63" s="48">
        <f t="shared" si="27"/>
        <v>74552.02</v>
      </c>
      <c r="U63" s="48">
        <f t="shared" si="27"/>
        <v>33266.14</v>
      </c>
      <c r="V63" s="48">
        <f t="shared" si="27"/>
        <v>19908</v>
      </c>
      <c r="W63" s="48">
        <f t="shared" si="27"/>
        <v>0</v>
      </c>
      <c r="X63" s="48">
        <f t="shared" si="27"/>
        <v>0</v>
      </c>
      <c r="Y63" s="48">
        <f t="shared" si="27"/>
        <v>0</v>
      </c>
      <c r="Z63" s="48">
        <f t="shared" si="27"/>
        <v>0</v>
      </c>
      <c r="AA63" s="48">
        <f t="shared" si="27"/>
        <v>0</v>
      </c>
      <c r="AB63" s="48">
        <f t="shared" si="27"/>
        <v>0</v>
      </c>
      <c r="AC63" s="48">
        <f>SUM(AC64:AC68)</f>
        <v>221725.33000000002</v>
      </c>
      <c r="AD63" s="29">
        <f t="shared" si="2"/>
        <v>17.600042070169867</v>
      </c>
      <c r="AE63" s="29"/>
    </row>
    <row r="64" spans="1:31" s="42" customFormat="1" ht="26.25" customHeight="1">
      <c r="A64" s="43"/>
      <c r="B64" s="43"/>
      <c r="C64" s="31" t="s">
        <v>89</v>
      </c>
      <c r="D64" s="32" t="s">
        <v>90</v>
      </c>
      <c r="E64" s="51">
        <v>20000</v>
      </c>
      <c r="F64" s="52">
        <v>20000</v>
      </c>
      <c r="G64" s="53">
        <v>20000</v>
      </c>
      <c r="H64" s="34"/>
      <c r="I64" s="52">
        <v>20000</v>
      </c>
      <c r="J64" s="53"/>
      <c r="K64" s="53"/>
      <c r="L64" s="53"/>
      <c r="M64" s="53"/>
      <c r="N64" s="53"/>
      <c r="O64" s="53"/>
      <c r="P64" s="33">
        <f t="shared" si="22"/>
        <v>20000</v>
      </c>
      <c r="Q64" s="52">
        <v>60.3</v>
      </c>
      <c r="R64" s="52">
        <v>1979</v>
      </c>
      <c r="S64" s="52">
        <v>2165.3</v>
      </c>
      <c r="T64" s="52">
        <v>2136</v>
      </c>
      <c r="U64" s="52">
        <v>2993</v>
      </c>
      <c r="V64" s="52">
        <v>3758</v>
      </c>
      <c r="W64" s="52"/>
      <c r="X64" s="52"/>
      <c r="Y64" s="52"/>
      <c r="Z64" s="52"/>
      <c r="AA64" s="52"/>
      <c r="AB64" s="52"/>
      <c r="AC64" s="34">
        <f t="shared" si="26"/>
        <v>13091.6</v>
      </c>
      <c r="AD64" s="35">
        <f t="shared" si="2"/>
        <v>65.458</v>
      </c>
      <c r="AE64" s="54" t="s">
        <v>657</v>
      </c>
    </row>
    <row r="65" spans="1:31" s="42" customFormat="1" ht="45">
      <c r="A65" s="43"/>
      <c r="B65" s="43"/>
      <c r="C65" s="31" t="s">
        <v>91</v>
      </c>
      <c r="D65" s="32" t="s">
        <v>92</v>
      </c>
      <c r="E65" s="51">
        <v>20000</v>
      </c>
      <c r="F65" s="52">
        <v>20000</v>
      </c>
      <c r="G65" s="53">
        <v>20000</v>
      </c>
      <c r="H65" s="34"/>
      <c r="I65" s="52">
        <v>20000</v>
      </c>
      <c r="J65" s="53"/>
      <c r="K65" s="53"/>
      <c r="L65" s="53">
        <v>15000</v>
      </c>
      <c r="M65" s="53"/>
      <c r="N65" s="53"/>
      <c r="O65" s="53"/>
      <c r="P65" s="33">
        <f t="shared" si="22"/>
        <v>35000</v>
      </c>
      <c r="Q65" s="52">
        <v>10478.06</v>
      </c>
      <c r="R65" s="52"/>
      <c r="S65" s="52"/>
      <c r="T65" s="52">
        <v>17333.49</v>
      </c>
      <c r="U65" s="52"/>
      <c r="V65" s="52"/>
      <c r="W65" s="52"/>
      <c r="X65" s="52"/>
      <c r="Y65" s="52"/>
      <c r="Z65" s="52"/>
      <c r="AA65" s="52"/>
      <c r="AB65" s="52"/>
      <c r="AC65" s="34">
        <f>SUM(Q65:AB65)</f>
        <v>27811.550000000003</v>
      </c>
      <c r="AD65" s="35">
        <f t="shared" si="2"/>
        <v>79.46157142857145</v>
      </c>
      <c r="AE65" s="313" t="s">
        <v>658</v>
      </c>
    </row>
    <row r="66" spans="1:31" s="42" customFormat="1" ht="103.5" customHeight="1">
      <c r="A66" s="43"/>
      <c r="B66" s="43"/>
      <c r="C66" s="31" t="s">
        <v>93</v>
      </c>
      <c r="D66" s="32" t="s">
        <v>94</v>
      </c>
      <c r="E66" s="51">
        <v>80000</v>
      </c>
      <c r="F66" s="52">
        <v>80000</v>
      </c>
      <c r="G66" s="53">
        <v>80000</v>
      </c>
      <c r="H66" s="34"/>
      <c r="I66" s="52">
        <v>80000</v>
      </c>
      <c r="J66" s="53"/>
      <c r="K66" s="53"/>
      <c r="L66" s="53"/>
      <c r="M66" s="53"/>
      <c r="N66" s="53"/>
      <c r="O66" s="53"/>
      <c r="P66" s="33">
        <f t="shared" si="22"/>
        <v>80000</v>
      </c>
      <c r="Q66" s="52">
        <v>34179.04</v>
      </c>
      <c r="R66" s="52">
        <v>526.44</v>
      </c>
      <c r="S66" s="52">
        <v>2691.95</v>
      </c>
      <c r="T66" s="52">
        <v>155.34</v>
      </c>
      <c r="U66" s="52">
        <v>26296.2</v>
      </c>
      <c r="V66" s="52"/>
      <c r="W66" s="52"/>
      <c r="X66" s="52"/>
      <c r="Y66" s="52"/>
      <c r="Z66" s="52"/>
      <c r="AA66" s="52"/>
      <c r="AB66" s="52"/>
      <c r="AC66" s="34">
        <f>SUM(Q66:AB66)</f>
        <v>63848.97</v>
      </c>
      <c r="AD66" s="35">
        <f t="shared" si="2"/>
        <v>79.8112125</v>
      </c>
      <c r="AE66" s="313" t="s">
        <v>0</v>
      </c>
    </row>
    <row r="67" spans="1:31" s="42" customFormat="1" ht="90">
      <c r="A67" s="43"/>
      <c r="B67" s="43"/>
      <c r="C67" s="31" t="s">
        <v>345</v>
      </c>
      <c r="D67" s="32" t="s">
        <v>346</v>
      </c>
      <c r="E67" s="51">
        <f>50000+5000+38500+19800+910000</f>
        <v>1023300</v>
      </c>
      <c r="F67" s="52">
        <f>150000+5000+38500+19800+910000</f>
        <v>1123300</v>
      </c>
      <c r="G67" s="53">
        <f>150000+5000+38500+19800+910000</f>
        <v>1123300</v>
      </c>
      <c r="H67" s="34" t="s">
        <v>287</v>
      </c>
      <c r="I67" s="52">
        <f>150000+5000+38500+19800+910000</f>
        <v>1123300</v>
      </c>
      <c r="J67" s="53"/>
      <c r="K67" s="53"/>
      <c r="L67" s="53"/>
      <c r="M67" s="53"/>
      <c r="N67" s="53"/>
      <c r="O67" s="53"/>
      <c r="P67" s="33">
        <f t="shared" si="22"/>
        <v>1123300</v>
      </c>
      <c r="Q67" s="52">
        <v>6351.25</v>
      </c>
      <c r="R67" s="52">
        <v>7805.6</v>
      </c>
      <c r="S67" s="52">
        <v>27372.35</v>
      </c>
      <c r="T67" s="52">
        <v>54927.19</v>
      </c>
      <c r="U67" s="52">
        <v>3976.94</v>
      </c>
      <c r="V67" s="52">
        <v>16150</v>
      </c>
      <c r="W67" s="52"/>
      <c r="X67" s="52"/>
      <c r="Y67" s="52"/>
      <c r="Z67" s="52"/>
      <c r="AA67" s="52"/>
      <c r="AB67" s="52"/>
      <c r="AC67" s="34">
        <f>SUM(Q67:AB67)</f>
        <v>116583.33</v>
      </c>
      <c r="AD67" s="35">
        <f t="shared" si="2"/>
        <v>10.378645953885872</v>
      </c>
      <c r="AE67" s="315" t="s">
        <v>676</v>
      </c>
    </row>
    <row r="68" spans="1:31" s="42" customFormat="1" ht="25.5">
      <c r="A68" s="43"/>
      <c r="B68" s="30"/>
      <c r="C68" s="31" t="s">
        <v>357</v>
      </c>
      <c r="D68" s="32" t="s">
        <v>358</v>
      </c>
      <c r="E68" s="51">
        <v>1500</v>
      </c>
      <c r="F68" s="52">
        <v>1500</v>
      </c>
      <c r="G68" s="53">
        <v>1500</v>
      </c>
      <c r="H68" s="34"/>
      <c r="I68" s="52">
        <v>1500</v>
      </c>
      <c r="J68" s="53"/>
      <c r="K68" s="53"/>
      <c r="L68" s="53"/>
      <c r="M68" s="53"/>
      <c r="N68" s="53"/>
      <c r="O68" s="53"/>
      <c r="P68" s="33">
        <f t="shared" si="22"/>
        <v>1500</v>
      </c>
      <c r="Q68" s="52"/>
      <c r="R68" s="52"/>
      <c r="S68" s="52">
        <v>389.88</v>
      </c>
      <c r="T68" s="52"/>
      <c r="U68" s="52"/>
      <c r="V68" s="52"/>
      <c r="W68" s="52"/>
      <c r="X68" s="52"/>
      <c r="Y68" s="52"/>
      <c r="Z68" s="52"/>
      <c r="AA68" s="52"/>
      <c r="AB68" s="52"/>
      <c r="AC68" s="34">
        <f t="shared" si="26"/>
        <v>389.88</v>
      </c>
      <c r="AD68" s="35">
        <f t="shared" si="2"/>
        <v>25.992</v>
      </c>
      <c r="AE68" s="313" t="s">
        <v>188</v>
      </c>
    </row>
    <row r="69" spans="1:31" s="42" customFormat="1" ht="25.5">
      <c r="A69" s="43"/>
      <c r="B69" s="43">
        <v>75621</v>
      </c>
      <c r="C69" s="43"/>
      <c r="D69" s="45" t="s">
        <v>95</v>
      </c>
      <c r="E69" s="46">
        <f>SUM(E70:E71)</f>
        <v>2388888</v>
      </c>
      <c r="F69" s="48">
        <f>SUM(F70:F71)</f>
        <v>2488888</v>
      </c>
      <c r="G69" s="49">
        <f>SUM(G70:G71)</f>
        <v>2483788</v>
      </c>
      <c r="H69" s="47"/>
      <c r="I69" s="48">
        <f aca="true" t="shared" si="28" ref="I69:AB69">SUM(I70:I71)</f>
        <v>2483788</v>
      </c>
      <c r="J69" s="49">
        <f t="shared" si="28"/>
        <v>0</v>
      </c>
      <c r="K69" s="49">
        <f t="shared" si="28"/>
        <v>21596</v>
      </c>
      <c r="L69" s="49">
        <f t="shared" si="28"/>
        <v>0</v>
      </c>
      <c r="M69" s="49">
        <f t="shared" si="28"/>
        <v>55000</v>
      </c>
      <c r="N69" s="49">
        <f t="shared" si="28"/>
        <v>0</v>
      </c>
      <c r="O69" s="49">
        <f t="shared" si="28"/>
        <v>0</v>
      </c>
      <c r="P69" s="50">
        <f t="shared" si="28"/>
        <v>2560384</v>
      </c>
      <c r="Q69" s="48">
        <f t="shared" si="28"/>
        <v>0</v>
      </c>
      <c r="R69" s="48">
        <f t="shared" si="28"/>
        <v>230003.46000000002</v>
      </c>
      <c r="S69" s="48">
        <f t="shared" si="28"/>
        <v>136427.09</v>
      </c>
      <c r="T69" s="48">
        <f t="shared" si="28"/>
        <v>203502.34</v>
      </c>
      <c r="U69" s="48">
        <f t="shared" si="28"/>
        <v>264589.79</v>
      </c>
      <c r="V69" s="48">
        <f t="shared" si="28"/>
        <v>155348.57</v>
      </c>
      <c r="W69" s="48">
        <f t="shared" si="28"/>
        <v>27544.809999999998</v>
      </c>
      <c r="X69" s="48">
        <f t="shared" si="28"/>
        <v>0</v>
      </c>
      <c r="Y69" s="48">
        <f t="shared" si="28"/>
        <v>0</v>
      </c>
      <c r="Z69" s="48">
        <f t="shared" si="28"/>
        <v>0</v>
      </c>
      <c r="AA69" s="48">
        <f t="shared" si="28"/>
        <v>0</v>
      </c>
      <c r="AB69" s="48">
        <f t="shared" si="28"/>
        <v>0</v>
      </c>
      <c r="AC69" s="48">
        <f>SUM(AC70:AC71)</f>
        <v>1017416.06</v>
      </c>
      <c r="AD69" s="29">
        <f t="shared" si="2"/>
        <v>39.736854315602656</v>
      </c>
      <c r="AE69" s="29"/>
    </row>
    <row r="70" spans="1:31" s="42" customFormat="1" ht="48" customHeight="1">
      <c r="A70" s="43"/>
      <c r="B70" s="30"/>
      <c r="C70" s="31" t="s">
        <v>96</v>
      </c>
      <c r="D70" s="32" t="s">
        <v>97</v>
      </c>
      <c r="E70" s="51">
        <v>1988888</v>
      </c>
      <c r="F70" s="52">
        <v>1988888</v>
      </c>
      <c r="G70" s="53">
        <v>1988888</v>
      </c>
      <c r="H70" s="34" t="s">
        <v>288</v>
      </c>
      <c r="I70" s="52">
        <v>1988888</v>
      </c>
      <c r="J70" s="53"/>
      <c r="K70" s="53">
        <v>21596</v>
      </c>
      <c r="L70" s="53"/>
      <c r="M70" s="53"/>
      <c r="N70" s="53"/>
      <c r="O70" s="53"/>
      <c r="P70" s="33">
        <f t="shared" si="22"/>
        <v>2010484</v>
      </c>
      <c r="Q70" s="52"/>
      <c r="R70" s="52">
        <v>160185</v>
      </c>
      <c r="S70" s="52">
        <v>124532</v>
      </c>
      <c r="T70" s="52">
        <v>102756</v>
      </c>
      <c r="U70" s="52">
        <v>193807</v>
      </c>
      <c r="V70" s="52">
        <v>148372</v>
      </c>
      <c r="W70" s="52">
        <v>120928</v>
      </c>
      <c r="X70" s="52"/>
      <c r="Y70" s="52"/>
      <c r="Z70" s="52"/>
      <c r="AA70" s="52"/>
      <c r="AB70" s="52"/>
      <c r="AC70" s="34">
        <f t="shared" si="26"/>
        <v>850580</v>
      </c>
      <c r="AD70" s="35">
        <f>AC70*100/P70</f>
        <v>42.30722552380422</v>
      </c>
      <c r="AE70" s="54" t="s">
        <v>677</v>
      </c>
    </row>
    <row r="71" spans="1:31" s="42" customFormat="1" ht="24.75" customHeight="1">
      <c r="A71" s="43"/>
      <c r="B71" s="30"/>
      <c r="C71" s="31" t="s">
        <v>98</v>
      </c>
      <c r="D71" s="32" t="s">
        <v>1031</v>
      </c>
      <c r="E71" s="51">
        <v>400000</v>
      </c>
      <c r="F71" s="52">
        <v>500000</v>
      </c>
      <c r="G71" s="53">
        <f>500000-5100</f>
        <v>494900</v>
      </c>
      <c r="H71" s="34"/>
      <c r="I71" s="52">
        <v>494900</v>
      </c>
      <c r="J71" s="53"/>
      <c r="K71" s="53"/>
      <c r="L71" s="53"/>
      <c r="M71" s="53">
        <v>55000</v>
      </c>
      <c r="N71" s="53"/>
      <c r="O71" s="53"/>
      <c r="P71" s="33">
        <f t="shared" si="22"/>
        <v>549900</v>
      </c>
      <c r="Q71" s="52"/>
      <c r="R71" s="52">
        <v>69818.46</v>
      </c>
      <c r="S71" s="52">
        <v>11895.09</v>
      </c>
      <c r="T71" s="52">
        <v>100746.34</v>
      </c>
      <c r="U71" s="52">
        <v>70782.79</v>
      </c>
      <c r="V71" s="52">
        <v>6976.57</v>
      </c>
      <c r="W71" s="51">
        <v>-93383.19</v>
      </c>
      <c r="X71" s="52"/>
      <c r="Y71" s="52"/>
      <c r="Z71" s="52"/>
      <c r="AA71" s="52"/>
      <c r="AB71" s="52"/>
      <c r="AC71" s="34">
        <f t="shared" si="26"/>
        <v>166836.06</v>
      </c>
      <c r="AD71" s="35">
        <f>AC71*100/P71</f>
        <v>30.33934533551555</v>
      </c>
      <c r="AE71" s="54" t="s">
        <v>678</v>
      </c>
    </row>
    <row r="72" spans="1:31" s="42" customFormat="1" ht="12.75">
      <c r="A72" s="55">
        <v>758</v>
      </c>
      <c r="B72" s="55"/>
      <c r="C72" s="55"/>
      <c r="D72" s="38" t="s">
        <v>1032</v>
      </c>
      <c r="E72" s="39">
        <f>E73+E75+E77+E79</f>
        <v>4536494</v>
      </c>
      <c r="F72" s="40">
        <f>F73+F75+F77+F79</f>
        <v>4536494</v>
      </c>
      <c r="G72" s="41">
        <f>G73+G75+G77+G79</f>
        <v>4536494</v>
      </c>
      <c r="H72" s="20"/>
      <c r="I72" s="40">
        <f aca="true" t="shared" si="29" ref="I72:AA72">I73+I75+I77+I79</f>
        <v>4536494</v>
      </c>
      <c r="J72" s="41">
        <f t="shared" si="29"/>
        <v>0</v>
      </c>
      <c r="K72" s="39">
        <f t="shared" si="29"/>
        <v>-117817</v>
      </c>
      <c r="L72" s="41">
        <f t="shared" si="29"/>
        <v>0</v>
      </c>
      <c r="M72" s="41">
        <f t="shared" si="29"/>
        <v>0</v>
      </c>
      <c r="N72" s="41">
        <f t="shared" si="29"/>
        <v>0</v>
      </c>
      <c r="O72" s="41">
        <f t="shared" si="29"/>
        <v>0</v>
      </c>
      <c r="P72" s="40">
        <f t="shared" si="29"/>
        <v>4418677</v>
      </c>
      <c r="Q72" s="40">
        <f t="shared" si="29"/>
        <v>655033.12</v>
      </c>
      <c r="R72" s="40">
        <f t="shared" si="29"/>
        <v>655033.21</v>
      </c>
      <c r="S72" s="40">
        <f t="shared" si="29"/>
        <v>307300.33</v>
      </c>
      <c r="T72" s="40">
        <f>T73+T75+T77+T79</f>
        <v>343541.89</v>
      </c>
      <c r="U72" s="40">
        <f>U73+U75+U77+U79</f>
        <v>343525.56</v>
      </c>
      <c r="V72" s="40">
        <f t="shared" si="29"/>
        <v>343823.65</v>
      </c>
      <c r="W72" s="40">
        <f t="shared" si="29"/>
        <v>0</v>
      </c>
      <c r="X72" s="40">
        <f t="shared" si="29"/>
        <v>0</v>
      </c>
      <c r="Y72" s="40">
        <f t="shared" si="29"/>
        <v>0</v>
      </c>
      <c r="Z72" s="40">
        <f t="shared" si="29"/>
        <v>0</v>
      </c>
      <c r="AA72" s="40">
        <f t="shared" si="29"/>
        <v>0</v>
      </c>
      <c r="AB72" s="40">
        <f>AB73+AB75+AB77+AB79</f>
        <v>0</v>
      </c>
      <c r="AC72" s="40">
        <f>AC73+AC75+AC77+AC79</f>
        <v>2648257.76</v>
      </c>
      <c r="AD72" s="40">
        <f>AD73+AD75+AD77+AD79</f>
        <v>172.99671505489715</v>
      </c>
      <c r="AE72" s="40"/>
    </row>
    <row r="73" spans="1:31" s="42" customFormat="1" ht="29.25" customHeight="1">
      <c r="A73" s="43"/>
      <c r="B73" s="43">
        <v>75801</v>
      </c>
      <c r="C73" s="43"/>
      <c r="D73" s="45" t="s">
        <v>1033</v>
      </c>
      <c r="E73" s="46">
        <f aca="true" t="shared" si="30" ref="E73:AC73">E74</f>
        <v>3931779</v>
      </c>
      <c r="F73" s="48">
        <f t="shared" si="30"/>
        <v>3931779</v>
      </c>
      <c r="G73" s="49">
        <f t="shared" si="30"/>
        <v>3931779</v>
      </c>
      <c r="H73" s="47"/>
      <c r="I73" s="48">
        <f t="shared" si="30"/>
        <v>3931779</v>
      </c>
      <c r="J73" s="49">
        <f t="shared" si="30"/>
        <v>0</v>
      </c>
      <c r="K73" s="46">
        <f t="shared" si="30"/>
        <v>-117817</v>
      </c>
      <c r="L73" s="49">
        <f t="shared" si="30"/>
        <v>0</v>
      </c>
      <c r="M73" s="49">
        <f t="shared" si="30"/>
        <v>0</v>
      </c>
      <c r="N73" s="49">
        <f t="shared" si="30"/>
        <v>0</v>
      </c>
      <c r="O73" s="49">
        <f t="shared" si="30"/>
        <v>0</v>
      </c>
      <c r="P73" s="50">
        <f t="shared" si="30"/>
        <v>3813962</v>
      </c>
      <c r="Q73" s="48">
        <f t="shared" si="30"/>
        <v>604890</v>
      </c>
      <c r="R73" s="48">
        <f t="shared" si="30"/>
        <v>604890</v>
      </c>
      <c r="S73" s="48">
        <f t="shared" si="30"/>
        <v>257130</v>
      </c>
      <c r="T73" s="48">
        <f t="shared" si="30"/>
        <v>293382</v>
      </c>
      <c r="U73" s="48">
        <f t="shared" si="30"/>
        <v>293382</v>
      </c>
      <c r="V73" s="48">
        <f t="shared" si="30"/>
        <v>293382</v>
      </c>
      <c r="W73" s="48">
        <f t="shared" si="30"/>
        <v>0</v>
      </c>
      <c r="X73" s="48">
        <f t="shared" si="30"/>
        <v>0</v>
      </c>
      <c r="Y73" s="48">
        <f t="shared" si="30"/>
        <v>0</v>
      </c>
      <c r="Z73" s="48">
        <f t="shared" si="30"/>
        <v>0</v>
      </c>
      <c r="AA73" s="48">
        <f t="shared" si="30"/>
        <v>0</v>
      </c>
      <c r="AB73" s="48">
        <f t="shared" si="30"/>
        <v>0</v>
      </c>
      <c r="AC73" s="48">
        <f t="shared" si="30"/>
        <v>2347056</v>
      </c>
      <c r="AD73" s="29">
        <f aca="true" t="shared" si="31" ref="AD73:AD104">AC73*100/P73</f>
        <v>61.53852607865522</v>
      </c>
      <c r="AE73" s="29"/>
    </row>
    <row r="74" spans="1:31" s="42" customFormat="1" ht="33.75">
      <c r="A74" s="43"/>
      <c r="B74" s="30"/>
      <c r="C74" s="30">
        <v>2920</v>
      </c>
      <c r="D74" s="32" t="s">
        <v>1034</v>
      </c>
      <c r="E74" s="51">
        <v>3931779</v>
      </c>
      <c r="F74" s="52">
        <v>3931779</v>
      </c>
      <c r="G74" s="53">
        <v>3931779</v>
      </c>
      <c r="H74" s="34" t="s">
        <v>288</v>
      </c>
      <c r="I74" s="52">
        <v>3931779</v>
      </c>
      <c r="J74" s="53"/>
      <c r="K74" s="51">
        <v>-117817</v>
      </c>
      <c r="L74" s="53"/>
      <c r="M74" s="53"/>
      <c r="N74" s="53"/>
      <c r="O74" s="53"/>
      <c r="P74" s="33">
        <f aca="true" t="shared" si="32" ref="P74:P80">I74+J74+K74+L74+M74+N74+O74</f>
        <v>3813962</v>
      </c>
      <c r="Q74" s="52">
        <v>604890</v>
      </c>
      <c r="R74" s="52">
        <v>604890</v>
      </c>
      <c r="S74" s="52">
        <v>257130</v>
      </c>
      <c r="T74" s="52">
        <v>293382</v>
      </c>
      <c r="U74" s="52">
        <v>293382</v>
      </c>
      <c r="V74" s="52">
        <v>293382</v>
      </c>
      <c r="W74" s="52"/>
      <c r="X74" s="52"/>
      <c r="Y74" s="52"/>
      <c r="Z74" s="52"/>
      <c r="AA74" s="52"/>
      <c r="AB74" s="52"/>
      <c r="AC74" s="34">
        <f>SUM(Q74:AB74)</f>
        <v>2347056</v>
      </c>
      <c r="AD74" s="35">
        <f t="shared" si="31"/>
        <v>61.53852607865522</v>
      </c>
      <c r="AE74" s="54" t="s">
        <v>679</v>
      </c>
    </row>
    <row r="75" spans="1:31" s="42" customFormat="1" ht="28.5" customHeight="1">
      <c r="A75" s="43"/>
      <c r="B75" s="43">
        <v>75807</v>
      </c>
      <c r="C75" s="43"/>
      <c r="D75" s="45" t="s">
        <v>1035</v>
      </c>
      <c r="E75" s="46">
        <f aca="true" t="shared" si="33" ref="E75:AC75">E76</f>
        <v>526810</v>
      </c>
      <c r="F75" s="48">
        <f t="shared" si="33"/>
        <v>526810</v>
      </c>
      <c r="G75" s="49">
        <f t="shared" si="33"/>
        <v>526810</v>
      </c>
      <c r="H75" s="47"/>
      <c r="I75" s="48">
        <f t="shared" si="33"/>
        <v>526810</v>
      </c>
      <c r="J75" s="49">
        <f t="shared" si="33"/>
        <v>0</v>
      </c>
      <c r="K75" s="49">
        <f t="shared" si="33"/>
        <v>0</v>
      </c>
      <c r="L75" s="49">
        <f t="shared" si="33"/>
        <v>0</v>
      </c>
      <c r="M75" s="49">
        <f t="shared" si="33"/>
        <v>0</v>
      </c>
      <c r="N75" s="49">
        <f t="shared" si="33"/>
        <v>0</v>
      </c>
      <c r="O75" s="49">
        <f t="shared" si="33"/>
        <v>0</v>
      </c>
      <c r="P75" s="50">
        <f t="shared" si="33"/>
        <v>526810</v>
      </c>
      <c r="Q75" s="48">
        <f t="shared" si="33"/>
        <v>43901</v>
      </c>
      <c r="R75" s="48">
        <f t="shared" si="33"/>
        <v>43901</v>
      </c>
      <c r="S75" s="48">
        <f t="shared" si="33"/>
        <v>43901</v>
      </c>
      <c r="T75" s="48">
        <f t="shared" si="33"/>
        <v>43901</v>
      </c>
      <c r="U75" s="48">
        <f t="shared" si="33"/>
        <v>43901</v>
      </c>
      <c r="V75" s="48">
        <f t="shared" si="33"/>
        <v>43901</v>
      </c>
      <c r="W75" s="48">
        <f t="shared" si="33"/>
        <v>0</v>
      </c>
      <c r="X75" s="48">
        <f t="shared" si="33"/>
        <v>0</v>
      </c>
      <c r="Y75" s="48">
        <f t="shared" si="33"/>
        <v>0</v>
      </c>
      <c r="Z75" s="48">
        <f t="shared" si="33"/>
        <v>0</v>
      </c>
      <c r="AA75" s="48">
        <f t="shared" si="33"/>
        <v>0</v>
      </c>
      <c r="AB75" s="48">
        <f t="shared" si="33"/>
        <v>0</v>
      </c>
      <c r="AC75" s="48">
        <f t="shared" si="33"/>
        <v>263406</v>
      </c>
      <c r="AD75" s="29">
        <f t="shared" si="31"/>
        <v>50.00018982175737</v>
      </c>
      <c r="AE75" s="29"/>
    </row>
    <row r="76" spans="1:31" s="42" customFormat="1" ht="45">
      <c r="A76" s="43"/>
      <c r="B76" s="30"/>
      <c r="C76" s="30">
        <v>2920</v>
      </c>
      <c r="D76" s="32" t="s">
        <v>1034</v>
      </c>
      <c r="E76" s="51">
        <v>526810</v>
      </c>
      <c r="F76" s="52">
        <v>526810</v>
      </c>
      <c r="G76" s="53">
        <v>526810</v>
      </c>
      <c r="H76" s="34" t="s">
        <v>288</v>
      </c>
      <c r="I76" s="52">
        <v>526810</v>
      </c>
      <c r="J76" s="53"/>
      <c r="K76" s="53"/>
      <c r="L76" s="53"/>
      <c r="M76" s="53"/>
      <c r="N76" s="53"/>
      <c r="O76" s="53"/>
      <c r="P76" s="33">
        <f t="shared" si="32"/>
        <v>526810</v>
      </c>
      <c r="Q76" s="52">
        <v>43901</v>
      </c>
      <c r="R76" s="52">
        <v>43901</v>
      </c>
      <c r="S76" s="52">
        <v>43901</v>
      </c>
      <c r="T76" s="52">
        <v>43901</v>
      </c>
      <c r="U76" s="52">
        <v>43901</v>
      </c>
      <c r="V76" s="52">
        <v>43901</v>
      </c>
      <c r="W76" s="52"/>
      <c r="X76" s="52"/>
      <c r="Y76" s="52"/>
      <c r="Z76" s="52"/>
      <c r="AA76" s="52"/>
      <c r="AB76" s="52"/>
      <c r="AC76" s="34">
        <f>SUM(Q76:AB76)</f>
        <v>263406</v>
      </c>
      <c r="AD76" s="35">
        <f t="shared" si="31"/>
        <v>50.00018982175737</v>
      </c>
      <c r="AE76" s="54" t="s">
        <v>680</v>
      </c>
    </row>
    <row r="77" spans="1:31" s="75" customFormat="1" ht="12.75">
      <c r="A77" s="43"/>
      <c r="B77" s="43">
        <v>75814</v>
      </c>
      <c r="C77" s="43"/>
      <c r="D77" s="45" t="s">
        <v>1036</v>
      </c>
      <c r="E77" s="46">
        <f aca="true" t="shared" si="34" ref="E77:AB77">E78</f>
        <v>3000</v>
      </c>
      <c r="F77" s="48">
        <f t="shared" si="34"/>
        <v>3000</v>
      </c>
      <c r="G77" s="49">
        <f t="shared" si="34"/>
        <v>3000</v>
      </c>
      <c r="H77" s="47"/>
      <c r="I77" s="48">
        <f t="shared" si="34"/>
        <v>3000</v>
      </c>
      <c r="J77" s="49">
        <f t="shared" si="34"/>
        <v>0</v>
      </c>
      <c r="K77" s="49">
        <f t="shared" si="34"/>
        <v>0</v>
      </c>
      <c r="L77" s="49">
        <f t="shared" si="34"/>
        <v>0</v>
      </c>
      <c r="M77" s="49">
        <f t="shared" si="34"/>
        <v>0</v>
      </c>
      <c r="N77" s="49">
        <f t="shared" si="34"/>
        <v>0</v>
      </c>
      <c r="O77" s="49">
        <f t="shared" si="34"/>
        <v>0</v>
      </c>
      <c r="P77" s="50">
        <f t="shared" si="34"/>
        <v>3000</v>
      </c>
      <c r="Q77" s="48">
        <f t="shared" si="34"/>
        <v>0.12</v>
      </c>
      <c r="R77" s="48">
        <f t="shared" si="34"/>
        <v>0.21</v>
      </c>
      <c r="S77" s="48">
        <f t="shared" si="34"/>
        <v>27.33</v>
      </c>
      <c r="T77" s="48">
        <f t="shared" si="34"/>
        <v>16.89</v>
      </c>
      <c r="U77" s="48">
        <f t="shared" si="34"/>
        <v>0.56</v>
      </c>
      <c r="V77" s="48">
        <f t="shared" si="34"/>
        <v>298.65</v>
      </c>
      <c r="W77" s="48">
        <f t="shared" si="34"/>
        <v>0</v>
      </c>
      <c r="X77" s="48">
        <f t="shared" si="34"/>
        <v>0</v>
      </c>
      <c r="Y77" s="48">
        <f t="shared" si="34"/>
        <v>0</v>
      </c>
      <c r="Z77" s="48">
        <f t="shared" si="34"/>
        <v>0</v>
      </c>
      <c r="AA77" s="48">
        <f t="shared" si="34"/>
        <v>0</v>
      </c>
      <c r="AB77" s="48">
        <f t="shared" si="34"/>
        <v>0</v>
      </c>
      <c r="AC77" s="48">
        <f>AC78</f>
        <v>343.76</v>
      </c>
      <c r="AD77" s="29">
        <f t="shared" si="31"/>
        <v>11.458666666666666</v>
      </c>
      <c r="AE77" s="29"/>
    </row>
    <row r="78" spans="1:31" s="42" customFormat="1" ht="33.75">
      <c r="A78" s="43"/>
      <c r="B78" s="30"/>
      <c r="C78" s="31" t="s">
        <v>359</v>
      </c>
      <c r="D78" s="32" t="s">
        <v>360</v>
      </c>
      <c r="E78" s="51">
        <v>3000</v>
      </c>
      <c r="F78" s="52">
        <v>3000</v>
      </c>
      <c r="G78" s="53">
        <v>3000</v>
      </c>
      <c r="H78" s="34" t="s">
        <v>664</v>
      </c>
      <c r="I78" s="52">
        <v>3000</v>
      </c>
      <c r="J78" s="53"/>
      <c r="K78" s="53"/>
      <c r="L78" s="53"/>
      <c r="M78" s="53"/>
      <c r="N78" s="53"/>
      <c r="O78" s="53"/>
      <c r="P78" s="33">
        <f t="shared" si="32"/>
        <v>3000</v>
      </c>
      <c r="Q78" s="52">
        <v>0.12</v>
      </c>
      <c r="R78" s="52">
        <v>0.21</v>
      </c>
      <c r="S78" s="52">
        <v>27.33</v>
      </c>
      <c r="T78" s="52">
        <v>16.89</v>
      </c>
      <c r="U78" s="52">
        <v>0.56</v>
      </c>
      <c r="V78" s="52">
        <v>298.65</v>
      </c>
      <c r="W78" s="52"/>
      <c r="X78" s="52"/>
      <c r="Y78" s="52"/>
      <c r="Z78" s="52"/>
      <c r="AA78" s="52"/>
      <c r="AB78" s="52"/>
      <c r="AC78" s="34">
        <f>SUM(Q78:AB78)</f>
        <v>343.76</v>
      </c>
      <c r="AD78" s="76">
        <f t="shared" si="31"/>
        <v>11.458666666666666</v>
      </c>
      <c r="AE78" s="54" t="s">
        <v>682</v>
      </c>
    </row>
    <row r="79" spans="1:31" s="42" customFormat="1" ht="25.5" customHeight="1">
      <c r="A79" s="43"/>
      <c r="B79" s="43">
        <v>75831</v>
      </c>
      <c r="C79" s="43"/>
      <c r="D79" s="45" t="s">
        <v>289</v>
      </c>
      <c r="E79" s="46">
        <f aca="true" t="shared" si="35" ref="E79:AB79">E80</f>
        <v>74905</v>
      </c>
      <c r="F79" s="48">
        <f t="shared" si="35"/>
        <v>74905</v>
      </c>
      <c r="G79" s="49">
        <f t="shared" si="35"/>
        <v>74905</v>
      </c>
      <c r="H79" s="47"/>
      <c r="I79" s="48">
        <f t="shared" si="35"/>
        <v>74905</v>
      </c>
      <c r="J79" s="49">
        <f t="shared" si="35"/>
        <v>0</v>
      </c>
      <c r="K79" s="49">
        <f t="shared" si="35"/>
        <v>0</v>
      </c>
      <c r="L79" s="49">
        <f t="shared" si="35"/>
        <v>0</v>
      </c>
      <c r="M79" s="49">
        <f t="shared" si="35"/>
        <v>0</v>
      </c>
      <c r="N79" s="49">
        <f t="shared" si="35"/>
        <v>0</v>
      </c>
      <c r="O79" s="49">
        <f t="shared" si="35"/>
        <v>0</v>
      </c>
      <c r="P79" s="50">
        <f t="shared" si="35"/>
        <v>74905</v>
      </c>
      <c r="Q79" s="48">
        <f t="shared" si="35"/>
        <v>6242</v>
      </c>
      <c r="R79" s="48">
        <f t="shared" si="35"/>
        <v>6242</v>
      </c>
      <c r="S79" s="48">
        <f t="shared" si="35"/>
        <v>6242</v>
      </c>
      <c r="T79" s="48">
        <f t="shared" si="35"/>
        <v>6242</v>
      </c>
      <c r="U79" s="48">
        <f t="shared" si="35"/>
        <v>6242</v>
      </c>
      <c r="V79" s="48">
        <f t="shared" si="35"/>
        <v>6242</v>
      </c>
      <c r="W79" s="48">
        <f t="shared" si="35"/>
        <v>0</v>
      </c>
      <c r="X79" s="48">
        <f t="shared" si="35"/>
        <v>0</v>
      </c>
      <c r="Y79" s="48">
        <f t="shared" si="35"/>
        <v>0</v>
      </c>
      <c r="Z79" s="48">
        <f t="shared" si="35"/>
        <v>0</v>
      </c>
      <c r="AA79" s="48">
        <f t="shared" si="35"/>
        <v>0</v>
      </c>
      <c r="AB79" s="48">
        <f t="shared" si="35"/>
        <v>0</v>
      </c>
      <c r="AC79" s="48">
        <f>AC80</f>
        <v>37452</v>
      </c>
      <c r="AD79" s="29">
        <f t="shared" si="31"/>
        <v>49.9993324878179</v>
      </c>
      <c r="AE79" s="29"/>
    </row>
    <row r="80" spans="1:31" s="42" customFormat="1" ht="33.75">
      <c r="A80" s="43"/>
      <c r="B80" s="30"/>
      <c r="C80" s="30">
        <v>2920</v>
      </c>
      <c r="D80" s="32" t="s">
        <v>1034</v>
      </c>
      <c r="E80" s="51">
        <v>74905</v>
      </c>
      <c r="F80" s="52">
        <v>74905</v>
      </c>
      <c r="G80" s="53">
        <v>74905</v>
      </c>
      <c r="H80" s="34" t="s">
        <v>288</v>
      </c>
      <c r="I80" s="52">
        <v>74905</v>
      </c>
      <c r="J80" s="53"/>
      <c r="K80" s="53"/>
      <c r="L80" s="53"/>
      <c r="M80" s="53"/>
      <c r="N80" s="53"/>
      <c r="O80" s="53"/>
      <c r="P80" s="33">
        <f t="shared" si="32"/>
        <v>74905</v>
      </c>
      <c r="Q80" s="52">
        <v>6242</v>
      </c>
      <c r="R80" s="52">
        <v>6242</v>
      </c>
      <c r="S80" s="52">
        <v>6242</v>
      </c>
      <c r="T80" s="52">
        <v>6242</v>
      </c>
      <c r="U80" s="52">
        <v>6242</v>
      </c>
      <c r="V80" s="52">
        <v>6242</v>
      </c>
      <c r="W80" s="52"/>
      <c r="X80" s="52"/>
      <c r="Y80" s="52"/>
      <c r="Z80" s="52"/>
      <c r="AA80" s="52"/>
      <c r="AB80" s="52"/>
      <c r="AC80" s="34">
        <f>SUM(Q80:AB80)</f>
        <v>37452</v>
      </c>
      <c r="AD80" s="35">
        <f t="shared" si="31"/>
        <v>49.9993324878179</v>
      </c>
      <c r="AE80" s="54" t="s">
        <v>681</v>
      </c>
    </row>
    <row r="81" spans="1:31" s="42" customFormat="1" ht="15" customHeight="1">
      <c r="A81" s="55">
        <v>801</v>
      </c>
      <c r="B81" s="55"/>
      <c r="C81" s="55"/>
      <c r="D81" s="38" t="s">
        <v>665</v>
      </c>
      <c r="E81" s="39">
        <f>E82+E85+E89+E92+E94</f>
        <v>3899592</v>
      </c>
      <c r="F81" s="40">
        <f>F82+F85+F89+F92+F94</f>
        <v>3909592</v>
      </c>
      <c r="G81" s="41">
        <f>G82+G85+G89+G92+G94</f>
        <v>3917592</v>
      </c>
      <c r="H81" s="20"/>
      <c r="I81" s="40">
        <f aca="true" t="shared" si="36" ref="I81:O81">I82+I85+I89+I92+I94</f>
        <v>3917592</v>
      </c>
      <c r="J81" s="41">
        <f t="shared" si="36"/>
        <v>4129511</v>
      </c>
      <c r="K81" s="41">
        <f t="shared" si="36"/>
        <v>0</v>
      </c>
      <c r="L81" s="41">
        <f t="shared" si="36"/>
        <v>0</v>
      </c>
      <c r="M81" s="41">
        <f t="shared" si="36"/>
        <v>1145</v>
      </c>
      <c r="N81" s="41">
        <f t="shared" si="36"/>
        <v>0</v>
      </c>
      <c r="O81" s="41">
        <f t="shared" si="36"/>
        <v>0</v>
      </c>
      <c r="P81" s="40">
        <f>P82+P85+P94+P89+P92+P98</f>
        <v>8048248</v>
      </c>
      <c r="Q81" s="40">
        <f>Q82+Q85+Q89+Q92+Q94</f>
        <v>4602</v>
      </c>
      <c r="R81" s="40">
        <f aca="true" t="shared" si="37" ref="R81:AB81">R82+R85+R89+R92+R94</f>
        <v>8618.42</v>
      </c>
      <c r="S81" s="40">
        <f t="shared" si="37"/>
        <v>12791.58</v>
      </c>
      <c r="T81" s="40">
        <f>T82+T85+T89+T92+T94</f>
        <v>6067</v>
      </c>
      <c r="U81" s="40">
        <f t="shared" si="37"/>
        <v>3980876.97</v>
      </c>
      <c r="V81" s="40">
        <f t="shared" si="37"/>
        <v>15691.72</v>
      </c>
      <c r="W81" s="40">
        <f t="shared" si="37"/>
        <v>0</v>
      </c>
      <c r="X81" s="40">
        <f t="shared" si="37"/>
        <v>0</v>
      </c>
      <c r="Y81" s="40">
        <f t="shared" si="37"/>
        <v>0</v>
      </c>
      <c r="Z81" s="40">
        <f t="shared" si="37"/>
        <v>0</v>
      </c>
      <c r="AA81" s="40">
        <f t="shared" si="37"/>
        <v>0</v>
      </c>
      <c r="AB81" s="40">
        <f t="shared" si="37"/>
        <v>0</v>
      </c>
      <c r="AC81" s="40">
        <f>AC82+AC85+AC94+AC89+AC92+AC98</f>
        <v>4028647.6900000004</v>
      </c>
      <c r="AD81" s="20">
        <f t="shared" si="31"/>
        <v>50.05620713974023</v>
      </c>
      <c r="AE81" s="20"/>
    </row>
    <row r="82" spans="1:31" s="42" customFormat="1" ht="12.75" customHeight="1">
      <c r="A82" s="23"/>
      <c r="B82" s="23">
        <v>80101</v>
      </c>
      <c r="C82" s="23"/>
      <c r="D82" s="45" t="s">
        <v>666</v>
      </c>
      <c r="E82" s="46">
        <f aca="true" t="shared" si="38" ref="E82:AB82">E83</f>
        <v>0</v>
      </c>
      <c r="F82" s="48">
        <f t="shared" si="38"/>
        <v>0</v>
      </c>
      <c r="G82" s="49">
        <f t="shared" si="38"/>
        <v>8000</v>
      </c>
      <c r="H82" s="47"/>
      <c r="I82" s="48">
        <f t="shared" si="38"/>
        <v>8000</v>
      </c>
      <c r="J82" s="49">
        <f t="shared" si="38"/>
        <v>0</v>
      </c>
      <c r="K82" s="49">
        <f t="shared" si="38"/>
        <v>0</v>
      </c>
      <c r="L82" s="49">
        <f t="shared" si="38"/>
        <v>0</v>
      </c>
      <c r="M82" s="49">
        <f>M83+M84</f>
        <v>1145</v>
      </c>
      <c r="N82" s="49">
        <f t="shared" si="38"/>
        <v>0</v>
      </c>
      <c r="O82" s="49">
        <f t="shared" si="38"/>
        <v>0</v>
      </c>
      <c r="P82" s="50">
        <f>P83+P84</f>
        <v>9145</v>
      </c>
      <c r="Q82" s="48">
        <f t="shared" si="38"/>
        <v>0</v>
      </c>
      <c r="R82" s="48">
        <f t="shared" si="38"/>
        <v>0</v>
      </c>
      <c r="S82" s="48">
        <f t="shared" si="38"/>
        <v>0</v>
      </c>
      <c r="T82" s="48">
        <f t="shared" si="38"/>
        <v>0</v>
      </c>
      <c r="U82" s="48">
        <f t="shared" si="38"/>
        <v>0</v>
      </c>
      <c r="V82" s="48">
        <f>V83+V84</f>
        <v>2095</v>
      </c>
      <c r="W82" s="48">
        <f t="shared" si="38"/>
        <v>0</v>
      </c>
      <c r="X82" s="48">
        <f t="shared" si="38"/>
        <v>0</v>
      </c>
      <c r="Y82" s="48">
        <f t="shared" si="38"/>
        <v>0</v>
      </c>
      <c r="Z82" s="48">
        <f t="shared" si="38"/>
        <v>0</v>
      </c>
      <c r="AA82" s="48">
        <f t="shared" si="38"/>
        <v>0</v>
      </c>
      <c r="AB82" s="48">
        <f t="shared" si="38"/>
        <v>0</v>
      </c>
      <c r="AC82" s="48">
        <f>AC83+AC84</f>
        <v>2095</v>
      </c>
      <c r="AD82" s="29">
        <f t="shared" si="31"/>
        <v>22.90869327501367</v>
      </c>
      <c r="AE82" s="29"/>
    </row>
    <row r="83" spans="1:31" s="66" customFormat="1" ht="16.5" customHeight="1">
      <c r="A83" s="63"/>
      <c r="B83" s="63"/>
      <c r="C83" s="78" t="s">
        <v>671</v>
      </c>
      <c r="D83" s="79" t="s">
        <v>672</v>
      </c>
      <c r="E83" s="68"/>
      <c r="F83" s="69"/>
      <c r="G83" s="70">
        <v>8000</v>
      </c>
      <c r="H83" s="77"/>
      <c r="I83" s="69">
        <v>8000</v>
      </c>
      <c r="J83" s="70"/>
      <c r="K83" s="70"/>
      <c r="L83" s="70"/>
      <c r="M83" s="70"/>
      <c r="N83" s="70"/>
      <c r="O83" s="70"/>
      <c r="P83" s="33">
        <f>I83+J83+K83+L83+M83+N83+O83</f>
        <v>8000</v>
      </c>
      <c r="Q83" s="69"/>
      <c r="R83" s="69"/>
      <c r="S83" s="69"/>
      <c r="T83" s="69"/>
      <c r="U83" s="69"/>
      <c r="V83" s="69">
        <v>950</v>
      </c>
      <c r="W83" s="69"/>
      <c r="X83" s="69"/>
      <c r="Y83" s="69"/>
      <c r="Z83" s="69"/>
      <c r="AA83" s="69"/>
      <c r="AB83" s="69"/>
      <c r="AC83" s="34">
        <f>SUM(Q83:AB83)</f>
        <v>950</v>
      </c>
      <c r="AD83" s="76">
        <f t="shared" si="31"/>
        <v>11.875</v>
      </c>
      <c r="AE83" s="443" t="s">
        <v>683</v>
      </c>
    </row>
    <row r="84" spans="1:31" s="66" customFormat="1" ht="45">
      <c r="A84" s="63"/>
      <c r="B84" s="63"/>
      <c r="C84" s="78">
        <v>2030</v>
      </c>
      <c r="D84" s="79" t="s">
        <v>667</v>
      </c>
      <c r="E84" s="68"/>
      <c r="F84" s="69"/>
      <c r="G84" s="70"/>
      <c r="H84" s="77"/>
      <c r="I84" s="69"/>
      <c r="J84" s="70"/>
      <c r="K84" s="70"/>
      <c r="L84" s="70"/>
      <c r="M84" s="70">
        <v>1145</v>
      </c>
      <c r="N84" s="70"/>
      <c r="O84" s="70"/>
      <c r="P84" s="33">
        <f>I84+J84+K84+L84+M84+N84+O84</f>
        <v>1145</v>
      </c>
      <c r="Q84" s="69"/>
      <c r="R84" s="69"/>
      <c r="S84" s="69"/>
      <c r="T84" s="69"/>
      <c r="U84" s="69"/>
      <c r="V84" s="69">
        <v>1145</v>
      </c>
      <c r="W84" s="69"/>
      <c r="X84" s="69"/>
      <c r="Y84" s="69"/>
      <c r="Z84" s="69"/>
      <c r="AA84" s="69"/>
      <c r="AB84" s="69"/>
      <c r="AC84" s="34">
        <f>SUM(Q84:AB84)</f>
        <v>1145</v>
      </c>
      <c r="AD84" s="76">
        <f t="shared" si="31"/>
        <v>100</v>
      </c>
      <c r="AE84" s="314" t="s">
        <v>25</v>
      </c>
    </row>
    <row r="85" spans="1:31" s="42" customFormat="1" ht="12.75">
      <c r="A85" s="23"/>
      <c r="B85" s="23">
        <v>80104</v>
      </c>
      <c r="C85" s="23"/>
      <c r="D85" s="24" t="s">
        <v>668</v>
      </c>
      <c r="E85" s="46">
        <f>E86+E87+E88</f>
        <v>55220</v>
      </c>
      <c r="F85" s="48">
        <f>F86+F87+F88</f>
        <v>65220</v>
      </c>
      <c r="G85" s="49">
        <f>G86+G87+G88</f>
        <v>65220</v>
      </c>
      <c r="H85" s="47"/>
      <c r="I85" s="48">
        <f aca="true" t="shared" si="39" ref="I85:O85">I86+I87+I88</f>
        <v>65220</v>
      </c>
      <c r="J85" s="49">
        <f t="shared" si="39"/>
        <v>0</v>
      </c>
      <c r="K85" s="49">
        <f t="shared" si="39"/>
        <v>0</v>
      </c>
      <c r="L85" s="49">
        <f t="shared" si="39"/>
        <v>0</v>
      </c>
      <c r="M85" s="49">
        <f t="shared" si="39"/>
        <v>0</v>
      </c>
      <c r="N85" s="49">
        <f t="shared" si="39"/>
        <v>0</v>
      </c>
      <c r="O85" s="49">
        <f t="shared" si="39"/>
        <v>0</v>
      </c>
      <c r="P85" s="50">
        <f>SUM(P86:P88)</f>
        <v>65220</v>
      </c>
      <c r="Q85" s="48">
        <f>Q86+Q87+Q88</f>
        <v>4602</v>
      </c>
      <c r="R85" s="48">
        <f aca="true" t="shared" si="40" ref="R85:AB85">R86+R87+R88</f>
        <v>4875</v>
      </c>
      <c r="S85" s="48">
        <f t="shared" si="40"/>
        <v>12689.05</v>
      </c>
      <c r="T85" s="48">
        <f t="shared" si="40"/>
        <v>5967</v>
      </c>
      <c r="U85" s="48">
        <f t="shared" si="40"/>
        <v>5467</v>
      </c>
      <c r="V85" s="48">
        <f t="shared" si="40"/>
        <v>13493.4</v>
      </c>
      <c r="W85" s="48">
        <f t="shared" si="40"/>
        <v>0</v>
      </c>
      <c r="X85" s="48">
        <f t="shared" si="40"/>
        <v>0</v>
      </c>
      <c r="Y85" s="48">
        <f t="shared" si="40"/>
        <v>0</v>
      </c>
      <c r="Z85" s="48">
        <f t="shared" si="40"/>
        <v>0</v>
      </c>
      <c r="AA85" s="48">
        <f t="shared" si="40"/>
        <v>0</v>
      </c>
      <c r="AB85" s="48">
        <f t="shared" si="40"/>
        <v>0</v>
      </c>
      <c r="AC85" s="48">
        <f>AC86+AC87+AC88</f>
        <v>47093.45</v>
      </c>
      <c r="AD85" s="29">
        <f t="shared" si="31"/>
        <v>72.20706838393131</v>
      </c>
      <c r="AE85" s="29"/>
    </row>
    <row r="86" spans="1:31" s="42" customFormat="1" ht="18" customHeight="1">
      <c r="A86" s="23"/>
      <c r="B86" s="23"/>
      <c r="C86" s="31" t="s">
        <v>669</v>
      </c>
      <c r="D86" s="32" t="s">
        <v>670</v>
      </c>
      <c r="E86" s="51">
        <v>50000</v>
      </c>
      <c r="F86" s="52">
        <v>60000</v>
      </c>
      <c r="G86" s="53">
        <v>60000</v>
      </c>
      <c r="H86" s="34" t="s">
        <v>290</v>
      </c>
      <c r="I86" s="52">
        <v>60000</v>
      </c>
      <c r="J86" s="53"/>
      <c r="K86" s="53"/>
      <c r="L86" s="53"/>
      <c r="M86" s="53"/>
      <c r="N86" s="53"/>
      <c r="O86" s="53"/>
      <c r="P86" s="33">
        <f aca="true" t="shared" si="41" ref="P86:P91">I86+J86+K86+L86+M86+N86+O86</f>
        <v>60000</v>
      </c>
      <c r="Q86" s="52">
        <v>3962</v>
      </c>
      <c r="R86" s="52">
        <v>4235</v>
      </c>
      <c r="S86" s="52">
        <v>10458.9</v>
      </c>
      <c r="T86" s="69">
        <v>5327</v>
      </c>
      <c r="U86" s="52">
        <v>5467</v>
      </c>
      <c r="V86" s="52">
        <v>10638.18</v>
      </c>
      <c r="W86" s="52"/>
      <c r="X86" s="52"/>
      <c r="Y86" s="52"/>
      <c r="Z86" s="52"/>
      <c r="AA86" s="52"/>
      <c r="AB86" s="52"/>
      <c r="AC86" s="34">
        <f>SUM(Q86:AB86)</f>
        <v>40088.08</v>
      </c>
      <c r="AD86" s="35">
        <f t="shared" si="31"/>
        <v>66.81346666666667</v>
      </c>
      <c r="AE86" s="313" t="s">
        <v>1128</v>
      </c>
    </row>
    <row r="87" spans="1:31" s="42" customFormat="1" ht="33.75">
      <c r="A87" s="23"/>
      <c r="B87" s="23"/>
      <c r="C87" s="31" t="s">
        <v>357</v>
      </c>
      <c r="D87" s="32" t="s">
        <v>358</v>
      </c>
      <c r="E87" s="51">
        <v>100</v>
      </c>
      <c r="F87" s="52">
        <v>100</v>
      </c>
      <c r="G87" s="53">
        <v>100</v>
      </c>
      <c r="H87" s="34"/>
      <c r="I87" s="52">
        <v>100</v>
      </c>
      <c r="J87" s="53"/>
      <c r="K87" s="53"/>
      <c r="L87" s="53"/>
      <c r="M87" s="53"/>
      <c r="N87" s="53"/>
      <c r="O87" s="53"/>
      <c r="P87" s="33">
        <f t="shared" si="41"/>
        <v>100</v>
      </c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34">
        <f>SUM(Q87:AB87)</f>
        <v>0</v>
      </c>
      <c r="AD87" s="35">
        <f t="shared" si="31"/>
        <v>0</v>
      </c>
      <c r="AE87" s="313" t="s">
        <v>26</v>
      </c>
    </row>
    <row r="88" spans="1:31" s="42" customFormat="1" ht="33.75">
      <c r="A88" s="23"/>
      <c r="B88" s="23"/>
      <c r="C88" s="78" t="s">
        <v>671</v>
      </c>
      <c r="D88" s="79" t="s">
        <v>672</v>
      </c>
      <c r="E88" s="51">
        <v>5120</v>
      </c>
      <c r="F88" s="52">
        <v>5120</v>
      </c>
      <c r="G88" s="53">
        <v>5120</v>
      </c>
      <c r="H88" s="34" t="s">
        <v>291</v>
      </c>
      <c r="I88" s="52">
        <v>5120</v>
      </c>
      <c r="J88" s="53"/>
      <c r="K88" s="53"/>
      <c r="L88" s="53"/>
      <c r="M88" s="53"/>
      <c r="N88" s="53"/>
      <c r="O88" s="53"/>
      <c r="P88" s="33">
        <f t="shared" si="41"/>
        <v>5120</v>
      </c>
      <c r="Q88" s="52">
        <v>640</v>
      </c>
      <c r="R88" s="52">
        <v>640</v>
      </c>
      <c r="S88" s="52">
        <v>2230.15</v>
      </c>
      <c r="T88" s="52">
        <v>640</v>
      </c>
      <c r="U88" s="52"/>
      <c r="V88" s="52">
        <v>2855.22</v>
      </c>
      <c r="W88" s="52"/>
      <c r="X88" s="52"/>
      <c r="Y88" s="52"/>
      <c r="Z88" s="52"/>
      <c r="AA88" s="52"/>
      <c r="AB88" s="52"/>
      <c r="AC88" s="34">
        <f>SUM(Q88:AB88)</f>
        <v>7005.369999999999</v>
      </c>
      <c r="AD88" s="35">
        <f t="shared" si="31"/>
        <v>136.82363281249997</v>
      </c>
      <c r="AE88" s="313" t="s">
        <v>189</v>
      </c>
    </row>
    <row r="89" spans="1:31" s="42" customFormat="1" ht="12.75">
      <c r="A89" s="23"/>
      <c r="B89" s="43">
        <v>80110</v>
      </c>
      <c r="C89" s="43"/>
      <c r="D89" s="45" t="s">
        <v>673</v>
      </c>
      <c r="E89" s="46">
        <f>E90+E91</f>
        <v>3831332</v>
      </c>
      <c r="F89" s="48">
        <f>F90+F91</f>
        <v>3831332</v>
      </c>
      <c r="G89" s="49">
        <f>G90+G91</f>
        <v>3831332</v>
      </c>
      <c r="H89" s="47"/>
      <c r="I89" s="48">
        <f aca="true" t="shared" si="42" ref="I89:AB89">I90+I91</f>
        <v>3831332</v>
      </c>
      <c r="J89" s="49">
        <f t="shared" si="42"/>
        <v>4129511</v>
      </c>
      <c r="K89" s="49">
        <f t="shared" si="42"/>
        <v>0</v>
      </c>
      <c r="L89" s="49">
        <f t="shared" si="42"/>
        <v>0</v>
      </c>
      <c r="M89" s="49">
        <f t="shared" si="42"/>
        <v>0</v>
      </c>
      <c r="N89" s="49">
        <f t="shared" si="42"/>
        <v>0</v>
      </c>
      <c r="O89" s="49">
        <f t="shared" si="42"/>
        <v>0</v>
      </c>
      <c r="P89" s="50">
        <f t="shared" si="42"/>
        <v>7960843</v>
      </c>
      <c r="Q89" s="48">
        <f t="shared" si="42"/>
        <v>0</v>
      </c>
      <c r="R89" s="48">
        <f t="shared" si="42"/>
        <v>0</v>
      </c>
      <c r="S89" s="48">
        <f t="shared" si="42"/>
        <v>0</v>
      </c>
      <c r="T89" s="48">
        <f t="shared" si="42"/>
        <v>0</v>
      </c>
      <c r="U89" s="48">
        <f t="shared" si="42"/>
        <v>3975309.97</v>
      </c>
      <c r="V89" s="48">
        <f t="shared" si="42"/>
        <v>0</v>
      </c>
      <c r="W89" s="48">
        <f t="shared" si="42"/>
        <v>0</v>
      </c>
      <c r="X89" s="48">
        <f t="shared" si="42"/>
        <v>0</v>
      </c>
      <c r="Y89" s="48">
        <f t="shared" si="42"/>
        <v>0</v>
      </c>
      <c r="Z89" s="48">
        <f t="shared" si="42"/>
        <v>0</v>
      </c>
      <c r="AA89" s="48">
        <f t="shared" si="42"/>
        <v>0</v>
      </c>
      <c r="AB89" s="48">
        <f t="shared" si="42"/>
        <v>0</v>
      </c>
      <c r="AC89" s="48">
        <f>AC90+AC91</f>
        <v>3975309.97</v>
      </c>
      <c r="AD89" s="29">
        <f t="shared" si="31"/>
        <v>49.935791598955035</v>
      </c>
      <c r="AE89" s="29"/>
    </row>
    <row r="90" spans="1:31" s="42" customFormat="1" ht="90">
      <c r="A90" s="23"/>
      <c r="B90" s="23"/>
      <c r="C90" s="31">
        <v>6298</v>
      </c>
      <c r="D90" s="32" t="s">
        <v>313</v>
      </c>
      <c r="E90" s="51">
        <v>3380587</v>
      </c>
      <c r="F90" s="52">
        <v>3380587</v>
      </c>
      <c r="G90" s="53">
        <f>3380587</f>
        <v>3380587</v>
      </c>
      <c r="H90" s="32" t="s">
        <v>674</v>
      </c>
      <c r="I90" s="52">
        <f>3380587</f>
        <v>3380587</v>
      </c>
      <c r="J90" s="53">
        <v>3643686</v>
      </c>
      <c r="K90" s="53"/>
      <c r="L90" s="53"/>
      <c r="M90" s="53"/>
      <c r="N90" s="53"/>
      <c r="O90" s="53"/>
      <c r="P90" s="33">
        <f t="shared" si="41"/>
        <v>7024273</v>
      </c>
      <c r="Q90" s="52"/>
      <c r="R90" s="52"/>
      <c r="S90" s="52"/>
      <c r="T90" s="52"/>
      <c r="U90" s="52">
        <v>3489484.97</v>
      </c>
      <c r="V90" s="52"/>
      <c r="W90" s="52"/>
      <c r="X90" s="52"/>
      <c r="Y90" s="52"/>
      <c r="Z90" s="52"/>
      <c r="AA90" s="52"/>
      <c r="AB90" s="52"/>
      <c r="AC90" s="34">
        <f>SUM(Q90:AB90)</f>
        <v>3489484.97</v>
      </c>
      <c r="AD90" s="35">
        <f t="shared" si="31"/>
        <v>49.677524919660726</v>
      </c>
      <c r="AE90" s="315" t="s">
        <v>28</v>
      </c>
    </row>
    <row r="91" spans="1:31" s="42" customFormat="1" ht="74.25" customHeight="1">
      <c r="A91" s="23"/>
      <c r="B91" s="23"/>
      <c r="C91" s="31">
        <v>6339</v>
      </c>
      <c r="D91" s="32" t="s">
        <v>445</v>
      </c>
      <c r="E91" s="51">
        <v>450745</v>
      </c>
      <c r="F91" s="52">
        <v>450745</v>
      </c>
      <c r="G91" s="53">
        <f>450745</f>
        <v>450745</v>
      </c>
      <c r="H91" s="32" t="s">
        <v>446</v>
      </c>
      <c r="I91" s="52">
        <f>450745</f>
        <v>450745</v>
      </c>
      <c r="J91" s="53">
        <v>485825</v>
      </c>
      <c r="K91" s="53"/>
      <c r="L91" s="53"/>
      <c r="M91" s="53"/>
      <c r="N91" s="53"/>
      <c r="O91" s="53"/>
      <c r="P91" s="33">
        <f t="shared" si="41"/>
        <v>936570</v>
      </c>
      <c r="Q91" s="52"/>
      <c r="R91" s="52"/>
      <c r="S91" s="52"/>
      <c r="T91" s="52"/>
      <c r="U91" s="52">
        <v>485825</v>
      </c>
      <c r="V91" s="52"/>
      <c r="W91" s="52"/>
      <c r="X91" s="52"/>
      <c r="Y91" s="52"/>
      <c r="Z91" s="52"/>
      <c r="AA91" s="52"/>
      <c r="AB91" s="52"/>
      <c r="AC91" s="34">
        <f>SUM(Q91:AB91)</f>
        <v>485825</v>
      </c>
      <c r="AD91" s="35">
        <f t="shared" si="31"/>
        <v>51.87279114214634</v>
      </c>
      <c r="AE91" s="315" t="s">
        <v>29</v>
      </c>
    </row>
    <row r="92" spans="1:31" s="42" customFormat="1" ht="12.75" customHeight="1" hidden="1">
      <c r="A92" s="23"/>
      <c r="B92" s="43">
        <v>80113</v>
      </c>
      <c r="C92" s="43"/>
      <c r="D92" s="45" t="s">
        <v>447</v>
      </c>
      <c r="E92" s="46">
        <f aca="true" t="shared" si="43" ref="E92:AB92">E93</f>
        <v>0</v>
      </c>
      <c r="F92" s="48">
        <f t="shared" si="43"/>
        <v>0</v>
      </c>
      <c r="G92" s="49">
        <f t="shared" si="43"/>
        <v>0</v>
      </c>
      <c r="H92" s="47"/>
      <c r="I92" s="48">
        <f t="shared" si="43"/>
        <v>0</v>
      </c>
      <c r="J92" s="49">
        <f t="shared" si="43"/>
        <v>0</v>
      </c>
      <c r="K92" s="49">
        <f t="shared" si="43"/>
        <v>0</v>
      </c>
      <c r="L92" s="49">
        <f t="shared" si="43"/>
        <v>0</v>
      </c>
      <c r="M92" s="49">
        <f t="shared" si="43"/>
        <v>0</v>
      </c>
      <c r="N92" s="49">
        <f t="shared" si="43"/>
        <v>0</v>
      </c>
      <c r="O92" s="49">
        <f t="shared" si="43"/>
        <v>0</v>
      </c>
      <c r="P92" s="50">
        <f t="shared" si="43"/>
        <v>0</v>
      </c>
      <c r="Q92" s="48">
        <f t="shared" si="43"/>
        <v>0</v>
      </c>
      <c r="R92" s="48">
        <f t="shared" si="43"/>
        <v>0</v>
      </c>
      <c r="S92" s="48">
        <f t="shared" si="43"/>
        <v>0</v>
      </c>
      <c r="T92" s="48">
        <f t="shared" si="43"/>
        <v>0</v>
      </c>
      <c r="U92" s="48">
        <f t="shared" si="43"/>
        <v>0</v>
      </c>
      <c r="V92" s="48">
        <f t="shared" si="43"/>
        <v>0</v>
      </c>
      <c r="W92" s="48">
        <f t="shared" si="43"/>
        <v>0</v>
      </c>
      <c r="X92" s="48">
        <f t="shared" si="43"/>
        <v>0</v>
      </c>
      <c r="Y92" s="48">
        <f t="shared" si="43"/>
        <v>0</v>
      </c>
      <c r="Z92" s="48">
        <f t="shared" si="43"/>
        <v>0</v>
      </c>
      <c r="AA92" s="48">
        <f t="shared" si="43"/>
        <v>0</v>
      </c>
      <c r="AB92" s="48">
        <f t="shared" si="43"/>
        <v>0</v>
      </c>
      <c r="AC92" s="48">
        <f>AC93</f>
        <v>0</v>
      </c>
      <c r="AD92" s="35" t="e">
        <f t="shared" si="31"/>
        <v>#DIV/0!</v>
      </c>
      <c r="AE92" s="35"/>
    </row>
    <row r="93" spans="1:31" s="42" customFormat="1" ht="12.75" customHeight="1" hidden="1">
      <c r="A93" s="23"/>
      <c r="B93" s="23"/>
      <c r="C93" s="78" t="s">
        <v>671</v>
      </c>
      <c r="D93" s="79" t="s">
        <v>672</v>
      </c>
      <c r="E93" s="51"/>
      <c r="F93" s="52"/>
      <c r="G93" s="53"/>
      <c r="H93" s="34"/>
      <c r="I93" s="52"/>
      <c r="J93" s="53"/>
      <c r="K93" s="53"/>
      <c r="L93" s="53"/>
      <c r="M93" s="53"/>
      <c r="N93" s="53"/>
      <c r="O93" s="53"/>
      <c r="P93" s="33">
        <f>I93+J93+K93+L93+M93+N93+O93</f>
        <v>0</v>
      </c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34">
        <f>SUM(Q93:AB93)</f>
        <v>0</v>
      </c>
      <c r="AD93" s="35" t="e">
        <f t="shared" si="31"/>
        <v>#DIV/0!</v>
      </c>
      <c r="AE93" s="35"/>
    </row>
    <row r="94" spans="1:31" s="42" customFormat="1" ht="30.75" customHeight="1">
      <c r="A94" s="23"/>
      <c r="B94" s="43">
        <v>80114</v>
      </c>
      <c r="C94" s="43"/>
      <c r="D94" s="45" t="s">
        <v>448</v>
      </c>
      <c r="E94" s="46">
        <f>E95+E96+E97</f>
        <v>13040</v>
      </c>
      <c r="F94" s="48">
        <f>F95+F96+F97</f>
        <v>13040</v>
      </c>
      <c r="G94" s="49">
        <f>G95+G96+G97</f>
        <v>13040</v>
      </c>
      <c r="H94" s="47"/>
      <c r="I94" s="48">
        <f aca="true" t="shared" si="44" ref="I94:O94">I95+I96+I97</f>
        <v>13040</v>
      </c>
      <c r="J94" s="49">
        <f t="shared" si="44"/>
        <v>0</v>
      </c>
      <c r="K94" s="49">
        <f t="shared" si="44"/>
        <v>0</v>
      </c>
      <c r="L94" s="49">
        <f t="shared" si="44"/>
        <v>0</v>
      </c>
      <c r="M94" s="49">
        <f t="shared" si="44"/>
        <v>0</v>
      </c>
      <c r="N94" s="49">
        <f t="shared" si="44"/>
        <v>0</v>
      </c>
      <c r="O94" s="49">
        <f t="shared" si="44"/>
        <v>0</v>
      </c>
      <c r="P94" s="50">
        <f>I94+J94+K94+L94+M94+N94+O94</f>
        <v>13040</v>
      </c>
      <c r="Q94" s="48">
        <f>Q95+Q96+Q97</f>
        <v>0</v>
      </c>
      <c r="R94" s="48">
        <f aca="true" t="shared" si="45" ref="R94:AB94">R95+R96+R97</f>
        <v>3743.42</v>
      </c>
      <c r="S94" s="48">
        <f t="shared" si="45"/>
        <v>102.53</v>
      </c>
      <c r="T94" s="48">
        <f t="shared" si="45"/>
        <v>100</v>
      </c>
      <c r="U94" s="48">
        <f t="shared" si="45"/>
        <v>100</v>
      </c>
      <c r="V94" s="48">
        <f t="shared" si="45"/>
        <v>103.32</v>
      </c>
      <c r="W94" s="48">
        <f t="shared" si="45"/>
        <v>0</v>
      </c>
      <c r="X94" s="48">
        <f t="shared" si="45"/>
        <v>0</v>
      </c>
      <c r="Y94" s="48">
        <f t="shared" si="45"/>
        <v>0</v>
      </c>
      <c r="Z94" s="48">
        <f t="shared" si="45"/>
        <v>0</v>
      </c>
      <c r="AA94" s="48">
        <f t="shared" si="45"/>
        <v>0</v>
      </c>
      <c r="AB94" s="48">
        <f t="shared" si="45"/>
        <v>0</v>
      </c>
      <c r="AC94" s="48">
        <f>AC95+AC96+AC97</f>
        <v>4149.27</v>
      </c>
      <c r="AD94" s="29">
        <f t="shared" si="31"/>
        <v>31.81955521472393</v>
      </c>
      <c r="AE94" s="29"/>
    </row>
    <row r="95" spans="1:31" s="42" customFormat="1" ht="22.5">
      <c r="A95" s="23"/>
      <c r="B95" s="23"/>
      <c r="C95" s="31" t="s">
        <v>367</v>
      </c>
      <c r="D95" s="32" t="s">
        <v>368</v>
      </c>
      <c r="E95" s="51">
        <v>1000</v>
      </c>
      <c r="F95" s="52">
        <v>1000</v>
      </c>
      <c r="G95" s="53">
        <v>1000</v>
      </c>
      <c r="H95" s="34"/>
      <c r="I95" s="52">
        <v>1000</v>
      </c>
      <c r="J95" s="53"/>
      <c r="K95" s="53"/>
      <c r="L95" s="53"/>
      <c r="M95" s="53"/>
      <c r="N95" s="53"/>
      <c r="O95" s="53"/>
      <c r="P95" s="33">
        <f>I95+J95+K95+L95+M95+N95+O95</f>
        <v>1000</v>
      </c>
      <c r="Q95" s="52"/>
      <c r="R95" s="52">
        <v>100</v>
      </c>
      <c r="S95" s="52">
        <v>100</v>
      </c>
      <c r="T95" s="52">
        <v>100</v>
      </c>
      <c r="U95" s="52">
        <v>100</v>
      </c>
      <c r="V95" s="52">
        <v>100</v>
      </c>
      <c r="W95" s="52"/>
      <c r="X95" s="52"/>
      <c r="Y95" s="52"/>
      <c r="Z95" s="52"/>
      <c r="AA95" s="52"/>
      <c r="AB95" s="52"/>
      <c r="AC95" s="34">
        <f>SUM(Q95:AB95)</f>
        <v>500</v>
      </c>
      <c r="AD95" s="35">
        <f t="shared" si="31"/>
        <v>50</v>
      </c>
      <c r="AE95" s="313" t="s">
        <v>190</v>
      </c>
    </row>
    <row r="96" spans="1:31" s="42" customFormat="1" ht="22.5">
      <c r="A96" s="23"/>
      <c r="B96" s="23"/>
      <c r="C96" s="31" t="s">
        <v>359</v>
      </c>
      <c r="D96" s="32" t="s">
        <v>360</v>
      </c>
      <c r="E96" s="51">
        <v>100</v>
      </c>
      <c r="F96" s="52">
        <v>100</v>
      </c>
      <c r="G96" s="53">
        <v>100</v>
      </c>
      <c r="H96" s="34"/>
      <c r="I96" s="52">
        <v>100</v>
      </c>
      <c r="J96" s="53"/>
      <c r="K96" s="53"/>
      <c r="L96" s="53"/>
      <c r="M96" s="53"/>
      <c r="N96" s="53"/>
      <c r="O96" s="53"/>
      <c r="P96" s="33">
        <f>I96+J96+K96+L96+M96+N96+O96</f>
        <v>100</v>
      </c>
      <c r="Q96" s="52"/>
      <c r="R96" s="52"/>
      <c r="S96" s="52">
        <v>2.53</v>
      </c>
      <c r="T96" s="52"/>
      <c r="U96" s="52"/>
      <c r="V96" s="52">
        <v>3.32</v>
      </c>
      <c r="W96" s="52"/>
      <c r="X96" s="52"/>
      <c r="Y96" s="52"/>
      <c r="Z96" s="52"/>
      <c r="AA96" s="52"/>
      <c r="AB96" s="52"/>
      <c r="AC96" s="34">
        <f>SUM(Q96:AB96)</f>
        <v>5.85</v>
      </c>
      <c r="AD96" s="35">
        <f t="shared" si="31"/>
        <v>5.85</v>
      </c>
      <c r="AE96" s="313" t="s">
        <v>191</v>
      </c>
    </row>
    <row r="97" spans="1:31" s="42" customFormat="1" ht="33.75">
      <c r="A97" s="23"/>
      <c r="B97" s="23"/>
      <c r="C97" s="78" t="s">
        <v>671</v>
      </c>
      <c r="D97" s="79" t="s">
        <v>672</v>
      </c>
      <c r="E97" s="51">
        <v>11940</v>
      </c>
      <c r="F97" s="52">
        <v>11940</v>
      </c>
      <c r="G97" s="53">
        <v>11940</v>
      </c>
      <c r="H97" s="34" t="s">
        <v>292</v>
      </c>
      <c r="I97" s="52">
        <v>11940</v>
      </c>
      <c r="J97" s="53"/>
      <c r="K97" s="53"/>
      <c r="L97" s="53"/>
      <c r="M97" s="53"/>
      <c r="N97" s="53"/>
      <c r="O97" s="53"/>
      <c r="P97" s="33">
        <f>I97+J97+K97+L97+M97+N97+O97</f>
        <v>11940</v>
      </c>
      <c r="Q97" s="52"/>
      <c r="R97" s="52">
        <v>3643.42</v>
      </c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34">
        <f>SUM(Q97:AB97)</f>
        <v>3643.42</v>
      </c>
      <c r="AD97" s="35">
        <f t="shared" si="31"/>
        <v>30.514405360134003</v>
      </c>
      <c r="AE97" s="313" t="s">
        <v>27</v>
      </c>
    </row>
    <row r="98" spans="1:31" s="42" customFormat="1" ht="18" customHeight="1" hidden="1">
      <c r="A98" s="23"/>
      <c r="B98" s="23">
        <v>80195</v>
      </c>
      <c r="C98" s="31"/>
      <c r="D98" s="83" t="s">
        <v>317</v>
      </c>
      <c r="E98" s="46">
        <f>E99</f>
        <v>0</v>
      </c>
      <c r="F98" s="48">
        <f>F99</f>
        <v>0</v>
      </c>
      <c r="G98" s="49">
        <f>G99</f>
        <v>0</v>
      </c>
      <c r="H98" s="34"/>
      <c r="I98" s="48">
        <f aca="true" t="shared" si="46" ref="I98:AB98">I99</f>
        <v>0</v>
      </c>
      <c r="J98" s="49">
        <f t="shared" si="46"/>
        <v>0</v>
      </c>
      <c r="K98" s="49">
        <f t="shared" si="46"/>
        <v>0</v>
      </c>
      <c r="L98" s="49">
        <f t="shared" si="46"/>
        <v>0</v>
      </c>
      <c r="M98" s="49">
        <f t="shared" si="46"/>
        <v>0</v>
      </c>
      <c r="N98" s="49">
        <f t="shared" si="46"/>
        <v>0</v>
      </c>
      <c r="O98" s="49">
        <f t="shared" si="46"/>
        <v>0</v>
      </c>
      <c r="P98" s="71">
        <f t="shared" si="46"/>
        <v>0</v>
      </c>
      <c r="Q98" s="48">
        <f t="shared" si="46"/>
        <v>0</v>
      </c>
      <c r="R98" s="48">
        <f t="shared" si="46"/>
        <v>0</v>
      </c>
      <c r="S98" s="48">
        <f t="shared" si="46"/>
        <v>0</v>
      </c>
      <c r="T98" s="48">
        <f t="shared" si="46"/>
        <v>0</v>
      </c>
      <c r="U98" s="48">
        <f t="shared" si="46"/>
        <v>0</v>
      </c>
      <c r="V98" s="48">
        <f t="shared" si="46"/>
        <v>0</v>
      </c>
      <c r="W98" s="48">
        <f t="shared" si="46"/>
        <v>0</v>
      </c>
      <c r="X98" s="48">
        <f t="shared" si="46"/>
        <v>0</v>
      </c>
      <c r="Y98" s="48">
        <f t="shared" si="46"/>
        <v>0</v>
      </c>
      <c r="Z98" s="48">
        <f t="shared" si="46"/>
        <v>0</v>
      </c>
      <c r="AA98" s="48">
        <f t="shared" si="46"/>
        <v>0</v>
      </c>
      <c r="AB98" s="48">
        <f t="shared" si="46"/>
        <v>0</v>
      </c>
      <c r="AC98" s="72">
        <f>AC99</f>
        <v>0</v>
      </c>
      <c r="AD98" s="29" t="e">
        <f t="shared" si="31"/>
        <v>#DIV/0!</v>
      </c>
      <c r="AE98" s="29"/>
    </row>
    <row r="99" spans="1:31" s="42" customFormat="1" ht="30.75" customHeight="1" hidden="1">
      <c r="A99" s="23"/>
      <c r="B99" s="23"/>
      <c r="C99" s="78">
        <v>2030</v>
      </c>
      <c r="D99" s="79" t="s">
        <v>667</v>
      </c>
      <c r="E99" s="51"/>
      <c r="F99" s="52"/>
      <c r="G99" s="53"/>
      <c r="H99" s="34"/>
      <c r="I99" s="52"/>
      <c r="J99" s="53"/>
      <c r="K99" s="53"/>
      <c r="L99" s="53"/>
      <c r="M99" s="53"/>
      <c r="N99" s="53"/>
      <c r="O99" s="53"/>
      <c r="P99" s="33">
        <f>I99+J99+K99+L99+M99+N99+O99</f>
        <v>0</v>
      </c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34">
        <f>SUM(Q99:AB99)</f>
        <v>0</v>
      </c>
      <c r="AD99" s="35" t="e">
        <f t="shared" si="31"/>
        <v>#DIV/0!</v>
      </c>
      <c r="AE99" s="35"/>
    </row>
    <row r="100" spans="1:31" s="42" customFormat="1" ht="16.5" customHeight="1">
      <c r="A100" s="55">
        <v>852</v>
      </c>
      <c r="B100" s="55"/>
      <c r="C100" s="55"/>
      <c r="D100" s="38" t="s">
        <v>449</v>
      </c>
      <c r="E100" s="39">
        <f>E103+E105+E108+E110+E101+E115</f>
        <v>1362024</v>
      </c>
      <c r="F100" s="40">
        <f>F103+F105+F108+F110+F101+F115</f>
        <v>1362024</v>
      </c>
      <c r="G100" s="41">
        <f>G103+G105+G108+G110+G101+G115</f>
        <v>1362024</v>
      </c>
      <c r="H100" s="20"/>
      <c r="I100" s="40">
        <f aca="true" t="shared" si="47" ref="I100:AB100">I103+I105+I108+I110+I101+I115</f>
        <v>1362024</v>
      </c>
      <c r="J100" s="41">
        <f t="shared" si="47"/>
        <v>0</v>
      </c>
      <c r="K100" s="41">
        <f t="shared" si="47"/>
        <v>56100</v>
      </c>
      <c r="L100" s="41">
        <f t="shared" si="47"/>
        <v>19725</v>
      </c>
      <c r="M100" s="41">
        <f t="shared" si="47"/>
        <v>7361</v>
      </c>
      <c r="N100" s="41">
        <f t="shared" si="47"/>
        <v>0</v>
      </c>
      <c r="O100" s="41">
        <f t="shared" si="47"/>
        <v>0</v>
      </c>
      <c r="P100" s="40">
        <f t="shared" si="47"/>
        <v>1445210</v>
      </c>
      <c r="Q100" s="40">
        <f t="shared" si="47"/>
        <v>114275</v>
      </c>
      <c r="R100" s="40">
        <f t="shared" si="47"/>
        <v>145685</v>
      </c>
      <c r="S100" s="40">
        <f t="shared" si="47"/>
        <v>144158.99</v>
      </c>
      <c r="T100" s="40">
        <f>T103+T105+T108+T110+T101+T115</f>
        <v>150126</v>
      </c>
      <c r="U100" s="40">
        <f t="shared" si="47"/>
        <v>169144</v>
      </c>
      <c r="V100" s="40">
        <f t="shared" si="47"/>
        <v>166929.53</v>
      </c>
      <c r="W100" s="40">
        <f t="shared" si="47"/>
        <v>0</v>
      </c>
      <c r="X100" s="40">
        <f t="shared" si="47"/>
        <v>0</v>
      </c>
      <c r="Y100" s="40">
        <f t="shared" si="47"/>
        <v>0</v>
      </c>
      <c r="Z100" s="40">
        <f t="shared" si="47"/>
        <v>0</v>
      </c>
      <c r="AA100" s="40">
        <f t="shared" si="47"/>
        <v>0</v>
      </c>
      <c r="AB100" s="40">
        <f t="shared" si="47"/>
        <v>0</v>
      </c>
      <c r="AC100" s="40">
        <f>AC103+AC105+AC108+AC110+AC101+AC115</f>
        <v>890318.52</v>
      </c>
      <c r="AD100" s="20">
        <f t="shared" si="31"/>
        <v>61.60478546370424</v>
      </c>
      <c r="AE100" s="20"/>
    </row>
    <row r="101" spans="1:31" s="66" customFormat="1" ht="41.25" customHeight="1">
      <c r="A101" s="63"/>
      <c r="B101" s="43">
        <v>85212</v>
      </c>
      <c r="C101" s="43"/>
      <c r="D101" s="45" t="s">
        <v>251</v>
      </c>
      <c r="E101" s="60">
        <f aca="true" t="shared" si="48" ref="E101:AB101">E102</f>
        <v>1210000</v>
      </c>
      <c r="F101" s="61">
        <f t="shared" si="48"/>
        <v>1210000</v>
      </c>
      <c r="G101" s="62">
        <f t="shared" si="48"/>
        <v>1210000</v>
      </c>
      <c r="H101" s="29"/>
      <c r="I101" s="61">
        <f t="shared" si="48"/>
        <v>1210000</v>
      </c>
      <c r="J101" s="62">
        <f t="shared" si="48"/>
        <v>0</v>
      </c>
      <c r="K101" s="62">
        <f t="shared" si="48"/>
        <v>56100</v>
      </c>
      <c r="L101" s="62">
        <f t="shared" si="48"/>
        <v>0</v>
      </c>
      <c r="M101" s="62">
        <f t="shared" si="48"/>
        <v>0</v>
      </c>
      <c r="N101" s="62">
        <f t="shared" si="48"/>
        <v>0</v>
      </c>
      <c r="O101" s="62">
        <f t="shared" si="48"/>
        <v>0</v>
      </c>
      <c r="P101" s="50">
        <f t="shared" si="48"/>
        <v>1266100</v>
      </c>
      <c r="Q101" s="61">
        <f t="shared" si="48"/>
        <v>100833</v>
      </c>
      <c r="R101" s="61">
        <f t="shared" si="48"/>
        <v>125833</v>
      </c>
      <c r="S101" s="61">
        <f t="shared" si="48"/>
        <v>125833</v>
      </c>
      <c r="T101" s="61">
        <f t="shared" si="48"/>
        <v>131140</v>
      </c>
      <c r="U101" s="61">
        <f t="shared" si="48"/>
        <v>150833</v>
      </c>
      <c r="V101" s="61">
        <f t="shared" si="48"/>
        <v>150833</v>
      </c>
      <c r="W101" s="61">
        <f t="shared" si="48"/>
        <v>0</v>
      </c>
      <c r="X101" s="61">
        <f t="shared" si="48"/>
        <v>0</v>
      </c>
      <c r="Y101" s="61">
        <f t="shared" si="48"/>
        <v>0</v>
      </c>
      <c r="Z101" s="61">
        <f t="shared" si="48"/>
        <v>0</v>
      </c>
      <c r="AA101" s="61">
        <f t="shared" si="48"/>
        <v>0</v>
      </c>
      <c r="AB101" s="61">
        <f t="shared" si="48"/>
        <v>0</v>
      </c>
      <c r="AC101" s="61">
        <f>AC102</f>
        <v>785305</v>
      </c>
      <c r="AD101" s="29">
        <f t="shared" si="31"/>
        <v>62.02551141300055</v>
      </c>
      <c r="AE101" s="579" t="s">
        <v>30</v>
      </c>
    </row>
    <row r="102" spans="1:31" s="66" customFormat="1" ht="51.75" customHeight="1">
      <c r="A102" s="63"/>
      <c r="B102" s="43"/>
      <c r="C102" s="30">
        <v>2010</v>
      </c>
      <c r="D102" s="32" t="s">
        <v>364</v>
      </c>
      <c r="E102" s="68">
        <v>1210000</v>
      </c>
      <c r="F102" s="69">
        <v>1210000</v>
      </c>
      <c r="G102" s="70">
        <v>1210000</v>
      </c>
      <c r="H102" s="34" t="s">
        <v>278</v>
      </c>
      <c r="I102" s="69">
        <v>1210000</v>
      </c>
      <c r="J102" s="70"/>
      <c r="K102" s="70">
        <v>56100</v>
      </c>
      <c r="L102" s="70"/>
      <c r="M102" s="70"/>
      <c r="N102" s="70"/>
      <c r="O102" s="70"/>
      <c r="P102" s="33">
        <f aca="true" t="shared" si="49" ref="P102:P107">I102+J102+K102+L102+M102+N102+O102</f>
        <v>1266100</v>
      </c>
      <c r="Q102" s="69">
        <v>100833</v>
      </c>
      <c r="R102" s="69">
        <v>125833</v>
      </c>
      <c r="S102" s="69">
        <v>125833</v>
      </c>
      <c r="T102" s="69">
        <v>131140</v>
      </c>
      <c r="U102" s="69">
        <v>150833</v>
      </c>
      <c r="V102" s="69">
        <v>150833</v>
      </c>
      <c r="W102" s="69"/>
      <c r="X102" s="69"/>
      <c r="Y102" s="69"/>
      <c r="Z102" s="69"/>
      <c r="AA102" s="69"/>
      <c r="AB102" s="69"/>
      <c r="AC102" s="34">
        <f>SUM(Q102:AB102)</f>
        <v>785305</v>
      </c>
      <c r="AD102" s="35">
        <f t="shared" si="31"/>
        <v>62.02551141300055</v>
      </c>
      <c r="AE102" s="579"/>
    </row>
    <row r="103" spans="1:31" s="66" customFormat="1" ht="51">
      <c r="A103" s="63"/>
      <c r="B103" s="43">
        <v>85213</v>
      </c>
      <c r="C103" s="43"/>
      <c r="D103" s="45" t="s">
        <v>450</v>
      </c>
      <c r="E103" s="60">
        <f aca="true" t="shared" si="50" ref="E103:AB103">E104</f>
        <v>9800</v>
      </c>
      <c r="F103" s="61">
        <f t="shared" si="50"/>
        <v>9800</v>
      </c>
      <c r="G103" s="62">
        <f t="shared" si="50"/>
        <v>9800</v>
      </c>
      <c r="H103" s="29"/>
      <c r="I103" s="61">
        <f t="shared" si="50"/>
        <v>9800</v>
      </c>
      <c r="J103" s="62">
        <f t="shared" si="50"/>
        <v>0</v>
      </c>
      <c r="K103" s="62">
        <f t="shared" si="50"/>
        <v>0</v>
      </c>
      <c r="L103" s="62">
        <f t="shared" si="50"/>
        <v>0</v>
      </c>
      <c r="M103" s="62">
        <f t="shared" si="50"/>
        <v>0</v>
      </c>
      <c r="N103" s="62">
        <f t="shared" si="50"/>
        <v>0</v>
      </c>
      <c r="O103" s="62">
        <f t="shared" si="50"/>
        <v>0</v>
      </c>
      <c r="P103" s="50">
        <f t="shared" si="50"/>
        <v>9800</v>
      </c>
      <c r="Q103" s="61">
        <f t="shared" si="50"/>
        <v>817</v>
      </c>
      <c r="R103" s="61">
        <f t="shared" si="50"/>
        <v>817</v>
      </c>
      <c r="S103" s="61">
        <f t="shared" si="50"/>
        <v>817</v>
      </c>
      <c r="T103" s="61">
        <f t="shared" si="50"/>
        <v>817</v>
      </c>
      <c r="U103" s="61">
        <f t="shared" si="50"/>
        <v>817</v>
      </c>
      <c r="V103" s="61">
        <f t="shared" si="50"/>
        <v>817</v>
      </c>
      <c r="W103" s="61">
        <f t="shared" si="50"/>
        <v>0</v>
      </c>
      <c r="X103" s="61">
        <f t="shared" si="50"/>
        <v>0</v>
      </c>
      <c r="Y103" s="61">
        <f t="shared" si="50"/>
        <v>0</v>
      </c>
      <c r="Z103" s="61">
        <f t="shared" si="50"/>
        <v>0</v>
      </c>
      <c r="AA103" s="61">
        <f t="shared" si="50"/>
        <v>0</v>
      </c>
      <c r="AB103" s="61">
        <f t="shared" si="50"/>
        <v>0</v>
      </c>
      <c r="AC103" s="61">
        <f>AC104</f>
        <v>4902</v>
      </c>
      <c r="AD103" s="29">
        <f t="shared" si="31"/>
        <v>50.02040816326531</v>
      </c>
      <c r="AE103" s="54"/>
    </row>
    <row r="104" spans="1:31" s="66" customFormat="1" ht="56.25" customHeight="1">
      <c r="A104" s="63"/>
      <c r="B104" s="63"/>
      <c r="C104" s="30">
        <v>2010</v>
      </c>
      <c r="D104" s="32" t="s">
        <v>364</v>
      </c>
      <c r="E104" s="68">
        <v>9800</v>
      </c>
      <c r="F104" s="69">
        <v>9800</v>
      </c>
      <c r="G104" s="70">
        <v>9800</v>
      </c>
      <c r="H104" s="34" t="s">
        <v>278</v>
      </c>
      <c r="I104" s="69">
        <v>9800</v>
      </c>
      <c r="J104" s="70"/>
      <c r="K104" s="70"/>
      <c r="L104" s="70"/>
      <c r="M104" s="70"/>
      <c r="N104" s="70"/>
      <c r="O104" s="70"/>
      <c r="P104" s="33">
        <f t="shared" si="49"/>
        <v>9800</v>
      </c>
      <c r="Q104" s="69">
        <v>817</v>
      </c>
      <c r="R104" s="69">
        <v>817</v>
      </c>
      <c r="S104" s="69">
        <f>817</f>
        <v>817</v>
      </c>
      <c r="T104" s="69">
        <v>817</v>
      </c>
      <c r="U104" s="69">
        <v>817</v>
      </c>
      <c r="V104" s="69">
        <v>817</v>
      </c>
      <c r="W104" s="69"/>
      <c r="X104" s="69"/>
      <c r="Y104" s="69"/>
      <c r="Z104" s="69"/>
      <c r="AA104" s="69"/>
      <c r="AB104" s="69"/>
      <c r="AC104" s="34">
        <f>SUM(Q104:AB104)</f>
        <v>4902</v>
      </c>
      <c r="AD104" s="35">
        <f t="shared" si="31"/>
        <v>50.02040816326531</v>
      </c>
      <c r="AE104" s="54" t="s">
        <v>31</v>
      </c>
    </row>
    <row r="105" spans="1:31" s="42" customFormat="1" ht="27" customHeight="1">
      <c r="A105" s="43"/>
      <c r="B105" s="43">
        <v>85214</v>
      </c>
      <c r="C105" s="43"/>
      <c r="D105" s="45" t="s">
        <v>255</v>
      </c>
      <c r="E105" s="46">
        <f>E106+E107</f>
        <v>63800</v>
      </c>
      <c r="F105" s="48">
        <f>F106+F107</f>
        <v>63800</v>
      </c>
      <c r="G105" s="49">
        <f>G106+G107</f>
        <v>63800</v>
      </c>
      <c r="H105" s="47"/>
      <c r="I105" s="48">
        <f aca="true" t="shared" si="51" ref="I105:AB105">I106+I107</f>
        <v>63800</v>
      </c>
      <c r="J105" s="49">
        <f t="shared" si="51"/>
        <v>0</v>
      </c>
      <c r="K105" s="49">
        <f t="shared" si="51"/>
        <v>0</v>
      </c>
      <c r="L105" s="49">
        <f t="shared" si="51"/>
        <v>0</v>
      </c>
      <c r="M105" s="49">
        <f t="shared" si="51"/>
        <v>7361</v>
      </c>
      <c r="N105" s="49">
        <f t="shared" si="51"/>
        <v>0</v>
      </c>
      <c r="O105" s="49">
        <f t="shared" si="51"/>
        <v>0</v>
      </c>
      <c r="P105" s="50">
        <f t="shared" si="51"/>
        <v>71161</v>
      </c>
      <c r="Q105" s="48">
        <f t="shared" si="51"/>
        <v>5342</v>
      </c>
      <c r="R105" s="48">
        <f t="shared" si="51"/>
        <v>5342</v>
      </c>
      <c r="S105" s="48">
        <f t="shared" si="51"/>
        <v>7884</v>
      </c>
      <c r="T105" s="48">
        <f t="shared" si="51"/>
        <v>7884</v>
      </c>
      <c r="U105" s="48">
        <f t="shared" si="51"/>
        <v>7859</v>
      </c>
      <c r="V105" s="48">
        <f t="shared" si="51"/>
        <v>5930</v>
      </c>
      <c r="W105" s="48">
        <f t="shared" si="51"/>
        <v>0</v>
      </c>
      <c r="X105" s="48">
        <f t="shared" si="51"/>
        <v>0</v>
      </c>
      <c r="Y105" s="48">
        <f t="shared" si="51"/>
        <v>0</v>
      </c>
      <c r="Z105" s="48">
        <f t="shared" si="51"/>
        <v>0</v>
      </c>
      <c r="AA105" s="48">
        <f t="shared" si="51"/>
        <v>0</v>
      </c>
      <c r="AB105" s="48">
        <f t="shared" si="51"/>
        <v>0</v>
      </c>
      <c r="AC105" s="48">
        <f>AC106+AC107</f>
        <v>40241</v>
      </c>
      <c r="AD105" s="29">
        <f aca="true" t="shared" si="52" ref="AD105:AD128">AC105*100/P105</f>
        <v>56.54923342842287</v>
      </c>
      <c r="AE105" s="54"/>
    </row>
    <row r="106" spans="1:31" s="42" customFormat="1" ht="67.5">
      <c r="A106" s="43"/>
      <c r="B106" s="30"/>
      <c r="C106" s="30">
        <v>2010</v>
      </c>
      <c r="D106" s="32" t="s">
        <v>364</v>
      </c>
      <c r="E106" s="51">
        <v>33300</v>
      </c>
      <c r="F106" s="52">
        <v>33300</v>
      </c>
      <c r="G106" s="53">
        <v>33300</v>
      </c>
      <c r="H106" s="580" t="s">
        <v>278</v>
      </c>
      <c r="I106" s="52">
        <v>33300</v>
      </c>
      <c r="J106" s="53"/>
      <c r="K106" s="53"/>
      <c r="L106" s="53"/>
      <c r="M106" s="53"/>
      <c r="N106" s="53"/>
      <c r="O106" s="53"/>
      <c r="P106" s="33">
        <f t="shared" si="49"/>
        <v>33300</v>
      </c>
      <c r="Q106" s="52">
        <v>2800</v>
      </c>
      <c r="R106" s="52">
        <v>2800</v>
      </c>
      <c r="S106" s="52">
        <v>2800</v>
      </c>
      <c r="T106" s="52">
        <v>2800</v>
      </c>
      <c r="U106" s="52">
        <v>2775</v>
      </c>
      <c r="V106" s="52">
        <v>2775</v>
      </c>
      <c r="W106" s="52"/>
      <c r="X106" s="52"/>
      <c r="Y106" s="52"/>
      <c r="Z106" s="52"/>
      <c r="AA106" s="52"/>
      <c r="AB106" s="52"/>
      <c r="AC106" s="34">
        <f aca="true" t="shared" si="53" ref="AC106:AC112">SUM(Q106:AB106)</f>
        <v>16750</v>
      </c>
      <c r="AD106" s="35">
        <f t="shared" si="52"/>
        <v>50.3003003003003</v>
      </c>
      <c r="AE106" s="54" t="s">
        <v>32</v>
      </c>
    </row>
    <row r="107" spans="1:31" s="42" customFormat="1" ht="78.75">
      <c r="A107" s="43"/>
      <c r="B107" s="30"/>
      <c r="C107" s="78">
        <v>2030</v>
      </c>
      <c r="D107" s="79" t="s">
        <v>667</v>
      </c>
      <c r="E107" s="51">
        <v>30500</v>
      </c>
      <c r="F107" s="52">
        <v>30500</v>
      </c>
      <c r="G107" s="53">
        <v>30500</v>
      </c>
      <c r="H107" s="581"/>
      <c r="I107" s="52">
        <v>30500</v>
      </c>
      <c r="J107" s="53"/>
      <c r="K107" s="53"/>
      <c r="L107" s="53"/>
      <c r="M107" s="53">
        <v>7361</v>
      </c>
      <c r="N107" s="53"/>
      <c r="O107" s="53"/>
      <c r="P107" s="33">
        <f t="shared" si="49"/>
        <v>37861</v>
      </c>
      <c r="Q107" s="52">
        <v>2542</v>
      </c>
      <c r="R107" s="52">
        <v>2542</v>
      </c>
      <c r="S107" s="52">
        <v>5084</v>
      </c>
      <c r="T107" s="52">
        <v>5084</v>
      </c>
      <c r="U107" s="52">
        <v>5084</v>
      </c>
      <c r="V107" s="52">
        <v>3155</v>
      </c>
      <c r="W107" s="52"/>
      <c r="X107" s="52"/>
      <c r="Y107" s="52"/>
      <c r="Z107" s="52"/>
      <c r="AA107" s="52"/>
      <c r="AB107" s="52"/>
      <c r="AC107" s="34">
        <f>SUM(Q107:AB107)</f>
        <v>23491</v>
      </c>
      <c r="AD107" s="35">
        <f t="shared" si="52"/>
        <v>62.04537650880854</v>
      </c>
      <c r="AE107" s="54" t="s">
        <v>33</v>
      </c>
    </row>
    <row r="108" spans="1:31" s="42" customFormat="1" ht="12.75" customHeight="1" hidden="1">
      <c r="A108" s="43"/>
      <c r="B108" s="43">
        <v>85216</v>
      </c>
      <c r="C108" s="43"/>
      <c r="D108" s="45" t="s">
        <v>451</v>
      </c>
      <c r="E108" s="46">
        <f aca="true" t="shared" si="54" ref="E108:AB108">E109</f>
        <v>0</v>
      </c>
      <c r="F108" s="48">
        <f t="shared" si="54"/>
        <v>0</v>
      </c>
      <c r="G108" s="49">
        <f t="shared" si="54"/>
        <v>0</v>
      </c>
      <c r="H108" s="47"/>
      <c r="I108" s="48">
        <f t="shared" si="54"/>
        <v>0</v>
      </c>
      <c r="J108" s="49">
        <f t="shared" si="54"/>
        <v>0</v>
      </c>
      <c r="K108" s="49">
        <f t="shared" si="54"/>
        <v>0</v>
      </c>
      <c r="L108" s="49">
        <f t="shared" si="54"/>
        <v>0</v>
      </c>
      <c r="M108" s="49">
        <f t="shared" si="54"/>
        <v>0</v>
      </c>
      <c r="N108" s="49">
        <f t="shared" si="54"/>
        <v>0</v>
      </c>
      <c r="O108" s="49">
        <f t="shared" si="54"/>
        <v>0</v>
      </c>
      <c r="P108" s="50">
        <f>P109</f>
        <v>0</v>
      </c>
      <c r="Q108" s="48">
        <f t="shared" si="54"/>
        <v>0</v>
      </c>
      <c r="R108" s="48">
        <f t="shared" si="54"/>
        <v>0</v>
      </c>
      <c r="S108" s="48">
        <f t="shared" si="54"/>
        <v>0</v>
      </c>
      <c r="T108" s="48">
        <f t="shared" si="54"/>
        <v>0</v>
      </c>
      <c r="U108" s="48">
        <f t="shared" si="54"/>
        <v>0</v>
      </c>
      <c r="V108" s="48">
        <f t="shared" si="54"/>
        <v>0</v>
      </c>
      <c r="W108" s="48">
        <f t="shared" si="54"/>
        <v>0</v>
      </c>
      <c r="X108" s="48">
        <f t="shared" si="54"/>
        <v>0</v>
      </c>
      <c r="Y108" s="48">
        <f t="shared" si="54"/>
        <v>0</v>
      </c>
      <c r="Z108" s="48">
        <f t="shared" si="54"/>
        <v>0</v>
      </c>
      <c r="AA108" s="48">
        <f t="shared" si="54"/>
        <v>0</v>
      </c>
      <c r="AB108" s="48">
        <f t="shared" si="54"/>
        <v>0</v>
      </c>
      <c r="AC108" s="48">
        <f>AC109</f>
        <v>0</v>
      </c>
      <c r="AD108" s="29" t="e">
        <f t="shared" si="52"/>
        <v>#DIV/0!</v>
      </c>
      <c r="AE108" s="29"/>
    </row>
    <row r="109" spans="1:31" s="42" customFormat="1" ht="38.25" customHeight="1" hidden="1">
      <c r="A109" s="43"/>
      <c r="B109" s="30"/>
      <c r="C109" s="30">
        <v>2010</v>
      </c>
      <c r="D109" s="32" t="s">
        <v>364</v>
      </c>
      <c r="E109" s="51"/>
      <c r="F109" s="52"/>
      <c r="G109" s="53"/>
      <c r="H109" s="34"/>
      <c r="I109" s="52"/>
      <c r="J109" s="53"/>
      <c r="K109" s="53"/>
      <c r="L109" s="53"/>
      <c r="M109" s="53"/>
      <c r="N109" s="53"/>
      <c r="O109" s="53"/>
      <c r="P109" s="33">
        <f>I109+J109+K109+L109+M109+N109+O109</f>
        <v>0</v>
      </c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34">
        <f>SUM(Q109:AB109)</f>
        <v>0</v>
      </c>
      <c r="AD109" s="35" t="e">
        <f t="shared" si="52"/>
        <v>#DIV/0!</v>
      </c>
      <c r="AE109" s="35"/>
    </row>
    <row r="110" spans="1:31" s="42" customFormat="1" ht="12.75">
      <c r="A110" s="43"/>
      <c r="B110" s="43">
        <v>85219</v>
      </c>
      <c r="C110" s="43"/>
      <c r="D110" s="45" t="s">
        <v>452</v>
      </c>
      <c r="E110" s="46">
        <f>E111+E112</f>
        <v>64400</v>
      </c>
      <c r="F110" s="48">
        <f>F111+F112</f>
        <v>64400</v>
      </c>
      <c r="G110" s="49">
        <f>G111+G112</f>
        <v>64400</v>
      </c>
      <c r="H110" s="47"/>
      <c r="I110" s="48">
        <f aca="true" t="shared" si="55" ref="I110:AB110">I111+I112</f>
        <v>64400</v>
      </c>
      <c r="J110" s="49">
        <f t="shared" si="55"/>
        <v>0</v>
      </c>
      <c r="K110" s="49">
        <f t="shared" si="55"/>
        <v>0</v>
      </c>
      <c r="L110" s="49">
        <f t="shared" si="55"/>
        <v>9000</v>
      </c>
      <c r="M110" s="49">
        <f t="shared" si="55"/>
        <v>0</v>
      </c>
      <c r="N110" s="49">
        <f t="shared" si="55"/>
        <v>0</v>
      </c>
      <c r="O110" s="49">
        <f t="shared" si="55"/>
        <v>0</v>
      </c>
      <c r="P110" s="50">
        <f t="shared" si="55"/>
        <v>73400</v>
      </c>
      <c r="Q110" s="48">
        <f t="shared" si="55"/>
        <v>4946</v>
      </c>
      <c r="R110" s="48">
        <f t="shared" si="55"/>
        <v>9019</v>
      </c>
      <c r="S110" s="48">
        <f t="shared" si="55"/>
        <v>4950.99</v>
      </c>
      <c r="T110" s="48">
        <f t="shared" si="55"/>
        <v>7946</v>
      </c>
      <c r="U110" s="48">
        <f t="shared" si="55"/>
        <v>6060</v>
      </c>
      <c r="V110" s="48">
        <f t="shared" si="55"/>
        <v>5774.53</v>
      </c>
      <c r="W110" s="48">
        <f t="shared" si="55"/>
        <v>0</v>
      </c>
      <c r="X110" s="48">
        <f t="shared" si="55"/>
        <v>0</v>
      </c>
      <c r="Y110" s="48">
        <f t="shared" si="55"/>
        <v>0</v>
      </c>
      <c r="Z110" s="48">
        <f t="shared" si="55"/>
        <v>0</v>
      </c>
      <c r="AA110" s="48">
        <f t="shared" si="55"/>
        <v>0</v>
      </c>
      <c r="AB110" s="48">
        <f t="shared" si="55"/>
        <v>0</v>
      </c>
      <c r="AC110" s="48">
        <f>AC111+AC112</f>
        <v>38696.52</v>
      </c>
      <c r="AD110" s="80">
        <f t="shared" si="52"/>
        <v>52.7200544959128</v>
      </c>
      <c r="AE110" s="80"/>
    </row>
    <row r="111" spans="1:31" s="42" customFormat="1" ht="78.75">
      <c r="A111" s="43"/>
      <c r="B111" s="30"/>
      <c r="C111" s="78">
        <v>2030</v>
      </c>
      <c r="D111" s="79" t="s">
        <v>667</v>
      </c>
      <c r="E111" s="51">
        <v>64300</v>
      </c>
      <c r="F111" s="52">
        <v>64300</v>
      </c>
      <c r="G111" s="53">
        <v>64300</v>
      </c>
      <c r="H111" s="34" t="s">
        <v>278</v>
      </c>
      <c r="I111" s="52">
        <v>64300</v>
      </c>
      <c r="J111" s="53"/>
      <c r="K111" s="53"/>
      <c r="L111" s="53">
        <v>9000</v>
      </c>
      <c r="M111" s="53"/>
      <c r="N111" s="53"/>
      <c r="O111" s="53"/>
      <c r="P111" s="33">
        <f>I111+J111+K111+L111+M111+N111+O111</f>
        <v>73300</v>
      </c>
      <c r="Q111" s="52">
        <v>4946</v>
      </c>
      <c r="R111" s="52">
        <v>9019</v>
      </c>
      <c r="S111" s="52">
        <v>4946</v>
      </c>
      <c r="T111" s="52">
        <v>7946</v>
      </c>
      <c r="U111" s="52">
        <v>6060</v>
      </c>
      <c r="V111" s="52">
        <v>5769</v>
      </c>
      <c r="W111" s="52"/>
      <c r="X111" s="52"/>
      <c r="Y111" s="52"/>
      <c r="Z111" s="52"/>
      <c r="AA111" s="52"/>
      <c r="AB111" s="52"/>
      <c r="AC111" s="34">
        <f t="shared" si="53"/>
        <v>38686</v>
      </c>
      <c r="AD111" s="69">
        <f t="shared" si="52"/>
        <v>52.77762619372442</v>
      </c>
      <c r="AE111" s="54" t="s">
        <v>34</v>
      </c>
    </row>
    <row r="112" spans="1:31" s="75" customFormat="1" ht="33.75">
      <c r="A112" s="43"/>
      <c r="B112" s="43"/>
      <c r="C112" s="31" t="s">
        <v>359</v>
      </c>
      <c r="D112" s="32" t="s">
        <v>360</v>
      </c>
      <c r="E112" s="51">
        <v>100</v>
      </c>
      <c r="F112" s="52">
        <v>100</v>
      </c>
      <c r="G112" s="53">
        <v>100</v>
      </c>
      <c r="H112" s="81" t="s">
        <v>453</v>
      </c>
      <c r="I112" s="52">
        <v>100</v>
      </c>
      <c r="J112" s="53"/>
      <c r="K112" s="53"/>
      <c r="L112" s="53"/>
      <c r="M112" s="53"/>
      <c r="N112" s="53"/>
      <c r="O112" s="53"/>
      <c r="P112" s="33">
        <f>I112+J112+K112+L112+M112+N112+O112</f>
        <v>100</v>
      </c>
      <c r="Q112" s="52"/>
      <c r="R112" s="52"/>
      <c r="S112" s="52">
        <v>4.99</v>
      </c>
      <c r="T112" s="52"/>
      <c r="U112" s="52"/>
      <c r="V112" s="52">
        <v>5.53</v>
      </c>
      <c r="W112" s="52"/>
      <c r="X112" s="52"/>
      <c r="Y112" s="52"/>
      <c r="Z112" s="52"/>
      <c r="AA112" s="52"/>
      <c r="AB112" s="52"/>
      <c r="AC112" s="34">
        <f t="shared" si="53"/>
        <v>10.52</v>
      </c>
      <c r="AD112" s="35">
        <f t="shared" si="52"/>
        <v>10.52</v>
      </c>
      <c r="AE112" s="54" t="s">
        <v>1129</v>
      </c>
    </row>
    <row r="113" spans="1:31" s="84" customFormat="1" ht="12.75" customHeight="1" hidden="1">
      <c r="A113" s="82"/>
      <c r="B113" s="82">
        <v>85278</v>
      </c>
      <c r="C113" s="82"/>
      <c r="D113" s="83" t="s">
        <v>454</v>
      </c>
      <c r="E113" s="46">
        <f aca="true" t="shared" si="56" ref="E113:AB113">E114</f>
        <v>0</v>
      </c>
      <c r="F113" s="48">
        <f t="shared" si="56"/>
        <v>0</v>
      </c>
      <c r="G113" s="49">
        <f t="shared" si="56"/>
        <v>0</v>
      </c>
      <c r="H113" s="74"/>
      <c r="I113" s="48">
        <f t="shared" si="56"/>
        <v>0</v>
      </c>
      <c r="J113" s="49">
        <f t="shared" si="56"/>
        <v>0</v>
      </c>
      <c r="K113" s="49">
        <f t="shared" si="56"/>
        <v>0</v>
      </c>
      <c r="L113" s="49">
        <f t="shared" si="56"/>
        <v>0</v>
      </c>
      <c r="M113" s="49">
        <f t="shared" si="56"/>
        <v>0</v>
      </c>
      <c r="N113" s="49">
        <f t="shared" si="56"/>
        <v>0</v>
      </c>
      <c r="O113" s="49">
        <f t="shared" si="56"/>
        <v>0</v>
      </c>
      <c r="P113" s="71">
        <f t="shared" si="56"/>
        <v>0</v>
      </c>
      <c r="Q113" s="48">
        <f t="shared" si="56"/>
        <v>0</v>
      </c>
      <c r="R113" s="48">
        <f t="shared" si="56"/>
        <v>0</v>
      </c>
      <c r="S113" s="48">
        <f t="shared" si="56"/>
        <v>0</v>
      </c>
      <c r="T113" s="48">
        <f t="shared" si="56"/>
        <v>0</v>
      </c>
      <c r="U113" s="48">
        <f t="shared" si="56"/>
        <v>0</v>
      </c>
      <c r="V113" s="48">
        <f t="shared" si="56"/>
        <v>0</v>
      </c>
      <c r="W113" s="48">
        <f t="shared" si="56"/>
        <v>0</v>
      </c>
      <c r="X113" s="48">
        <f t="shared" si="56"/>
        <v>0</v>
      </c>
      <c r="Y113" s="48">
        <f t="shared" si="56"/>
        <v>0</v>
      </c>
      <c r="Z113" s="48">
        <f t="shared" si="56"/>
        <v>0</v>
      </c>
      <c r="AA113" s="48">
        <f t="shared" si="56"/>
        <v>0</v>
      </c>
      <c r="AB113" s="48">
        <f t="shared" si="56"/>
        <v>0</v>
      </c>
      <c r="AC113" s="72">
        <f>AC114</f>
        <v>0</v>
      </c>
      <c r="AD113" s="80" t="e">
        <f t="shared" si="52"/>
        <v>#DIV/0!</v>
      </c>
      <c r="AE113" s="80"/>
    </row>
    <row r="114" spans="1:31" s="75" customFormat="1" ht="38.25" customHeight="1" hidden="1">
      <c r="A114" s="43"/>
      <c r="B114" s="43"/>
      <c r="C114" s="30">
        <v>2010</v>
      </c>
      <c r="D114" s="32" t="s">
        <v>364</v>
      </c>
      <c r="E114" s="85"/>
      <c r="F114" s="86"/>
      <c r="G114" s="87"/>
      <c r="H114" s="47"/>
      <c r="I114" s="86"/>
      <c r="J114" s="87"/>
      <c r="K114" s="87"/>
      <c r="L114" s="87"/>
      <c r="M114" s="87"/>
      <c r="N114" s="87"/>
      <c r="O114" s="87"/>
      <c r="P114" s="33">
        <f>I114+J114+K114+L114+M114+N114+O114</f>
        <v>0</v>
      </c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34">
        <f>SUM(Q114:AB114)</f>
        <v>0</v>
      </c>
      <c r="AD114" s="69" t="e">
        <f t="shared" si="52"/>
        <v>#DIV/0!</v>
      </c>
      <c r="AE114" s="69"/>
    </row>
    <row r="115" spans="1:31" s="84" customFormat="1" ht="16.5" customHeight="1">
      <c r="A115" s="82"/>
      <c r="B115" s="82">
        <v>85295</v>
      </c>
      <c r="C115" s="82"/>
      <c r="D115" s="83" t="s">
        <v>317</v>
      </c>
      <c r="E115" s="46">
        <f aca="true" t="shared" si="57" ref="E115:AB115">E116</f>
        <v>14024</v>
      </c>
      <c r="F115" s="48">
        <f t="shared" si="57"/>
        <v>14024</v>
      </c>
      <c r="G115" s="49">
        <f t="shared" si="57"/>
        <v>14024</v>
      </c>
      <c r="H115" s="74"/>
      <c r="I115" s="48">
        <f t="shared" si="57"/>
        <v>14024</v>
      </c>
      <c r="J115" s="49">
        <f t="shared" si="57"/>
        <v>0</v>
      </c>
      <c r="K115" s="49">
        <f t="shared" si="57"/>
        <v>0</v>
      </c>
      <c r="L115" s="49">
        <f t="shared" si="57"/>
        <v>10725</v>
      </c>
      <c r="M115" s="49">
        <f t="shared" si="57"/>
        <v>0</v>
      </c>
      <c r="N115" s="49">
        <f t="shared" si="57"/>
        <v>0</v>
      </c>
      <c r="O115" s="49">
        <f t="shared" si="57"/>
        <v>0</v>
      </c>
      <c r="P115" s="71">
        <f t="shared" si="57"/>
        <v>24749</v>
      </c>
      <c r="Q115" s="48">
        <f t="shared" si="57"/>
        <v>2337</v>
      </c>
      <c r="R115" s="48">
        <f t="shared" si="57"/>
        <v>4674</v>
      </c>
      <c r="S115" s="48">
        <f t="shared" si="57"/>
        <v>4674</v>
      </c>
      <c r="T115" s="48">
        <f t="shared" si="57"/>
        <v>2339</v>
      </c>
      <c r="U115" s="48">
        <f t="shared" si="57"/>
        <v>3575</v>
      </c>
      <c r="V115" s="48">
        <f t="shared" si="57"/>
        <v>3575</v>
      </c>
      <c r="W115" s="48">
        <f t="shared" si="57"/>
        <v>0</v>
      </c>
      <c r="X115" s="48">
        <f t="shared" si="57"/>
        <v>0</v>
      </c>
      <c r="Y115" s="48">
        <f t="shared" si="57"/>
        <v>0</v>
      </c>
      <c r="Z115" s="48">
        <f t="shared" si="57"/>
        <v>0</v>
      </c>
      <c r="AA115" s="48">
        <f t="shared" si="57"/>
        <v>0</v>
      </c>
      <c r="AB115" s="48">
        <f t="shared" si="57"/>
        <v>0</v>
      </c>
      <c r="AC115" s="72">
        <f>AC116</f>
        <v>21174</v>
      </c>
      <c r="AD115" s="80">
        <f t="shared" si="52"/>
        <v>85.55497191805729</v>
      </c>
      <c r="AE115" s="80"/>
    </row>
    <row r="116" spans="1:31" s="75" customFormat="1" ht="90">
      <c r="A116" s="43"/>
      <c r="B116" s="43"/>
      <c r="C116" s="78">
        <v>2030</v>
      </c>
      <c r="D116" s="79" t="s">
        <v>667</v>
      </c>
      <c r="E116" s="51">
        <v>14024</v>
      </c>
      <c r="F116" s="52">
        <v>14024</v>
      </c>
      <c r="G116" s="53">
        <v>14024</v>
      </c>
      <c r="H116" s="47"/>
      <c r="I116" s="52">
        <v>14024</v>
      </c>
      <c r="J116" s="53"/>
      <c r="K116" s="53"/>
      <c r="L116" s="53">
        <v>10725</v>
      </c>
      <c r="M116" s="53"/>
      <c r="N116" s="53"/>
      <c r="O116" s="53"/>
      <c r="P116" s="33">
        <f>I116+J116+K116+L116+M116+N116+O116</f>
        <v>24749</v>
      </c>
      <c r="Q116" s="52">
        <v>2337</v>
      </c>
      <c r="R116" s="52">
        <v>4674</v>
      </c>
      <c r="S116" s="52">
        <v>4674</v>
      </c>
      <c r="T116" s="52">
        <v>2339</v>
      </c>
      <c r="U116" s="52">
        <v>3575</v>
      </c>
      <c r="V116" s="52">
        <v>3575</v>
      </c>
      <c r="W116" s="52"/>
      <c r="X116" s="52"/>
      <c r="Y116" s="52"/>
      <c r="Z116" s="52"/>
      <c r="AA116" s="52"/>
      <c r="AB116" s="52"/>
      <c r="AC116" s="34">
        <f>SUM(Q116:AB116)</f>
        <v>21174</v>
      </c>
      <c r="AD116" s="69">
        <f t="shared" si="52"/>
        <v>85.55497191805729</v>
      </c>
      <c r="AE116" s="316" t="s">
        <v>35</v>
      </c>
    </row>
    <row r="117" spans="1:31" s="42" customFormat="1" ht="12.75" customHeight="1">
      <c r="A117" s="55">
        <v>854</v>
      </c>
      <c r="B117" s="55"/>
      <c r="C117" s="55"/>
      <c r="D117" s="38" t="s">
        <v>455</v>
      </c>
      <c r="E117" s="39">
        <f>E118</f>
        <v>0</v>
      </c>
      <c r="F117" s="40">
        <f>F118</f>
        <v>0</v>
      </c>
      <c r="G117" s="41">
        <f>G118</f>
        <v>0</v>
      </c>
      <c r="H117" s="20"/>
      <c r="I117" s="40">
        <f aca="true" t="shared" si="58" ref="I117:AB117">I118</f>
        <v>0</v>
      </c>
      <c r="J117" s="41">
        <f t="shared" si="58"/>
        <v>0</v>
      </c>
      <c r="K117" s="41">
        <f t="shared" si="58"/>
        <v>3290</v>
      </c>
      <c r="L117" s="41">
        <f t="shared" si="58"/>
        <v>8597</v>
      </c>
      <c r="M117" s="41">
        <f t="shared" si="58"/>
        <v>0</v>
      </c>
      <c r="N117" s="41">
        <f t="shared" si="58"/>
        <v>0</v>
      </c>
      <c r="O117" s="41">
        <f t="shared" si="58"/>
        <v>0</v>
      </c>
      <c r="P117" s="40">
        <f t="shared" si="58"/>
        <v>11887</v>
      </c>
      <c r="Q117" s="40">
        <f t="shared" si="58"/>
        <v>0</v>
      </c>
      <c r="R117" s="40">
        <f t="shared" si="58"/>
        <v>0</v>
      </c>
      <c r="S117" s="40">
        <f t="shared" si="58"/>
        <v>3290</v>
      </c>
      <c r="T117" s="40">
        <f t="shared" si="58"/>
        <v>0</v>
      </c>
      <c r="U117" s="40">
        <f t="shared" si="58"/>
        <v>6450</v>
      </c>
      <c r="V117" s="40">
        <f t="shared" si="58"/>
        <v>2147</v>
      </c>
      <c r="W117" s="40">
        <f t="shared" si="58"/>
        <v>0</v>
      </c>
      <c r="X117" s="40">
        <f t="shared" si="58"/>
        <v>0</v>
      </c>
      <c r="Y117" s="40">
        <f t="shared" si="58"/>
        <v>0</v>
      </c>
      <c r="Z117" s="40">
        <f t="shared" si="58"/>
        <v>0</v>
      </c>
      <c r="AA117" s="40">
        <f t="shared" si="58"/>
        <v>0</v>
      </c>
      <c r="AB117" s="40">
        <f t="shared" si="58"/>
        <v>0</v>
      </c>
      <c r="AC117" s="40">
        <f>AC118</f>
        <v>11887</v>
      </c>
      <c r="AD117" s="20">
        <f t="shared" si="52"/>
        <v>100</v>
      </c>
      <c r="AE117" s="20"/>
    </row>
    <row r="118" spans="1:31" s="75" customFormat="1" ht="12.75" customHeight="1">
      <c r="A118" s="43"/>
      <c r="B118" s="43">
        <v>85415</v>
      </c>
      <c r="C118" s="78"/>
      <c r="D118" s="90" t="s">
        <v>456</v>
      </c>
      <c r="E118" s="46">
        <f aca="true" t="shared" si="59" ref="E118:AB118">E119</f>
        <v>0</v>
      </c>
      <c r="F118" s="48">
        <f t="shared" si="59"/>
        <v>0</v>
      </c>
      <c r="G118" s="49">
        <f t="shared" si="59"/>
        <v>0</v>
      </c>
      <c r="H118" s="47"/>
      <c r="I118" s="48">
        <f t="shared" si="59"/>
        <v>0</v>
      </c>
      <c r="J118" s="49">
        <f t="shared" si="59"/>
        <v>0</v>
      </c>
      <c r="K118" s="49">
        <f t="shared" si="59"/>
        <v>3290</v>
      </c>
      <c r="L118" s="49">
        <f t="shared" si="59"/>
        <v>8597</v>
      </c>
      <c r="M118" s="49">
        <f t="shared" si="59"/>
        <v>0</v>
      </c>
      <c r="N118" s="49">
        <f t="shared" si="59"/>
        <v>0</v>
      </c>
      <c r="O118" s="49">
        <f t="shared" si="59"/>
        <v>0</v>
      </c>
      <c r="P118" s="71">
        <f>P119</f>
        <v>11887</v>
      </c>
      <c r="Q118" s="48">
        <f t="shared" si="59"/>
        <v>0</v>
      </c>
      <c r="R118" s="48">
        <f t="shared" si="59"/>
        <v>0</v>
      </c>
      <c r="S118" s="48">
        <f t="shared" si="59"/>
        <v>3290</v>
      </c>
      <c r="T118" s="48">
        <f t="shared" si="59"/>
        <v>0</v>
      </c>
      <c r="U118" s="48">
        <f t="shared" si="59"/>
        <v>6450</v>
      </c>
      <c r="V118" s="48">
        <f t="shared" si="59"/>
        <v>2147</v>
      </c>
      <c r="W118" s="48">
        <f t="shared" si="59"/>
        <v>0</v>
      </c>
      <c r="X118" s="48">
        <f t="shared" si="59"/>
        <v>0</v>
      </c>
      <c r="Y118" s="48">
        <f t="shared" si="59"/>
        <v>0</v>
      </c>
      <c r="Z118" s="48">
        <f t="shared" si="59"/>
        <v>0</v>
      </c>
      <c r="AA118" s="48">
        <f t="shared" si="59"/>
        <v>0</v>
      </c>
      <c r="AB118" s="48">
        <f t="shared" si="59"/>
        <v>0</v>
      </c>
      <c r="AC118" s="91">
        <f>AC119</f>
        <v>11887</v>
      </c>
      <c r="AD118" s="80">
        <f t="shared" si="52"/>
        <v>100</v>
      </c>
      <c r="AE118" s="80"/>
    </row>
    <row r="119" spans="1:31" s="75" customFormat="1" ht="90" customHeight="1">
      <c r="A119" s="43"/>
      <c r="B119" s="43"/>
      <c r="C119" s="78">
        <v>2030</v>
      </c>
      <c r="D119" s="79" t="s">
        <v>667</v>
      </c>
      <c r="E119" s="85"/>
      <c r="F119" s="86"/>
      <c r="G119" s="87"/>
      <c r="H119" s="47"/>
      <c r="I119" s="86"/>
      <c r="J119" s="87"/>
      <c r="K119" s="88">
        <v>3290</v>
      </c>
      <c r="L119" s="88">
        <v>8597</v>
      </c>
      <c r="M119" s="87"/>
      <c r="N119" s="87"/>
      <c r="O119" s="87"/>
      <c r="P119" s="33">
        <f>I119+J119+K119+L119+M119+N119+O119</f>
        <v>11887</v>
      </c>
      <c r="Q119" s="86"/>
      <c r="R119" s="86"/>
      <c r="S119" s="89">
        <v>3290</v>
      </c>
      <c r="T119" s="86"/>
      <c r="U119" s="89">
        <v>6450</v>
      </c>
      <c r="V119" s="89">
        <v>2147</v>
      </c>
      <c r="W119" s="86"/>
      <c r="X119" s="86"/>
      <c r="Y119" s="86"/>
      <c r="Z119" s="86"/>
      <c r="AA119" s="86"/>
      <c r="AB119" s="86"/>
      <c r="AC119" s="34">
        <f>SUM(Q119:AB119)</f>
        <v>11887</v>
      </c>
      <c r="AD119" s="69">
        <f t="shared" si="52"/>
        <v>100</v>
      </c>
      <c r="AE119" s="313" t="s">
        <v>36</v>
      </c>
    </row>
    <row r="120" spans="1:31" s="42" customFormat="1" ht="12.75">
      <c r="A120" s="55">
        <v>900</v>
      </c>
      <c r="B120" s="55"/>
      <c r="C120" s="55"/>
      <c r="D120" s="38" t="s">
        <v>457</v>
      </c>
      <c r="E120" s="39">
        <f>E121</f>
        <v>10000</v>
      </c>
      <c r="F120" s="40">
        <f>F121</f>
        <v>10000</v>
      </c>
      <c r="G120" s="41">
        <f>G121</f>
        <v>10000</v>
      </c>
      <c r="H120" s="20"/>
      <c r="I120" s="40">
        <f aca="true" t="shared" si="60" ref="I120:AB120">I121</f>
        <v>10000</v>
      </c>
      <c r="J120" s="41">
        <f t="shared" si="60"/>
        <v>0</v>
      </c>
      <c r="K120" s="41">
        <f t="shared" si="60"/>
        <v>0</v>
      </c>
      <c r="L120" s="41">
        <f t="shared" si="60"/>
        <v>0</v>
      </c>
      <c r="M120" s="41">
        <f>M121+M123</f>
        <v>1200</v>
      </c>
      <c r="N120" s="41">
        <f t="shared" si="60"/>
        <v>0</v>
      </c>
      <c r="O120" s="41">
        <f t="shared" si="60"/>
        <v>0</v>
      </c>
      <c r="P120" s="40">
        <f>P121+P123</f>
        <v>11200</v>
      </c>
      <c r="Q120" s="40">
        <f t="shared" si="60"/>
        <v>0</v>
      </c>
      <c r="R120" s="40">
        <f t="shared" si="60"/>
        <v>0</v>
      </c>
      <c r="S120" s="40">
        <f t="shared" si="60"/>
        <v>0</v>
      </c>
      <c r="T120" s="40">
        <f t="shared" si="60"/>
        <v>0</v>
      </c>
      <c r="U120" s="40">
        <f t="shared" si="60"/>
        <v>0</v>
      </c>
      <c r="V120" s="40">
        <f>V121+V123</f>
        <v>1939.73</v>
      </c>
      <c r="W120" s="40">
        <f t="shared" si="60"/>
        <v>0</v>
      </c>
      <c r="X120" s="40">
        <f t="shared" si="60"/>
        <v>0</v>
      </c>
      <c r="Y120" s="40">
        <f t="shared" si="60"/>
        <v>0</v>
      </c>
      <c r="Z120" s="40">
        <f t="shared" si="60"/>
        <v>0</v>
      </c>
      <c r="AA120" s="40">
        <f t="shared" si="60"/>
        <v>0</v>
      </c>
      <c r="AB120" s="40">
        <f t="shared" si="60"/>
        <v>0</v>
      </c>
      <c r="AC120" s="40">
        <f>AC121+AC123</f>
        <v>1939.73</v>
      </c>
      <c r="AD120" s="20">
        <f t="shared" si="52"/>
        <v>17.319017857142857</v>
      </c>
      <c r="AE120" s="312"/>
    </row>
    <row r="121" spans="1:31" s="42" customFormat="1" ht="25.5">
      <c r="A121" s="43"/>
      <c r="B121" s="43">
        <v>90011</v>
      </c>
      <c r="C121" s="43"/>
      <c r="D121" s="45" t="s">
        <v>459</v>
      </c>
      <c r="E121" s="46">
        <f aca="true" t="shared" si="61" ref="E121:AB121">SUM(E122:E122)</f>
        <v>10000</v>
      </c>
      <c r="F121" s="48">
        <f t="shared" si="61"/>
        <v>10000</v>
      </c>
      <c r="G121" s="49">
        <f t="shared" si="61"/>
        <v>10000</v>
      </c>
      <c r="H121" s="47"/>
      <c r="I121" s="48">
        <f t="shared" si="61"/>
        <v>10000</v>
      </c>
      <c r="J121" s="49">
        <f t="shared" si="61"/>
        <v>0</v>
      </c>
      <c r="K121" s="49">
        <f t="shared" si="61"/>
        <v>0</v>
      </c>
      <c r="L121" s="49">
        <f t="shared" si="61"/>
        <v>0</v>
      </c>
      <c r="M121" s="49">
        <f t="shared" si="61"/>
        <v>0</v>
      </c>
      <c r="N121" s="49">
        <f t="shared" si="61"/>
        <v>0</v>
      </c>
      <c r="O121" s="49">
        <f t="shared" si="61"/>
        <v>0</v>
      </c>
      <c r="P121" s="50">
        <f t="shared" si="61"/>
        <v>10000</v>
      </c>
      <c r="Q121" s="48">
        <f t="shared" si="61"/>
        <v>0</v>
      </c>
      <c r="R121" s="48">
        <f t="shared" si="61"/>
        <v>0</v>
      </c>
      <c r="S121" s="48">
        <f t="shared" si="61"/>
        <v>0</v>
      </c>
      <c r="T121" s="48">
        <f t="shared" si="61"/>
        <v>0</v>
      </c>
      <c r="U121" s="48">
        <f t="shared" si="61"/>
        <v>0</v>
      </c>
      <c r="V121" s="48">
        <f t="shared" si="61"/>
        <v>1411.68</v>
      </c>
      <c r="W121" s="48">
        <f t="shared" si="61"/>
        <v>0</v>
      </c>
      <c r="X121" s="48">
        <f t="shared" si="61"/>
        <v>0</v>
      </c>
      <c r="Y121" s="48">
        <f t="shared" si="61"/>
        <v>0</v>
      </c>
      <c r="Z121" s="48">
        <f t="shared" si="61"/>
        <v>0</v>
      </c>
      <c r="AA121" s="48">
        <f t="shared" si="61"/>
        <v>0</v>
      </c>
      <c r="AB121" s="48">
        <f t="shared" si="61"/>
        <v>0</v>
      </c>
      <c r="AC121" s="48">
        <f>SUM(AC122:AC122)</f>
        <v>1411.68</v>
      </c>
      <c r="AD121" s="29">
        <f t="shared" si="52"/>
        <v>14.1168</v>
      </c>
      <c r="AE121" s="29"/>
    </row>
    <row r="122" spans="1:31" s="42" customFormat="1" ht="22.5">
      <c r="A122" s="30"/>
      <c r="B122" s="30"/>
      <c r="C122" s="31" t="s">
        <v>460</v>
      </c>
      <c r="D122" s="32" t="s">
        <v>461</v>
      </c>
      <c r="E122" s="51">
        <v>10000</v>
      </c>
      <c r="F122" s="52">
        <v>10000</v>
      </c>
      <c r="G122" s="53">
        <v>10000</v>
      </c>
      <c r="H122" s="34"/>
      <c r="I122" s="52">
        <v>10000</v>
      </c>
      <c r="J122" s="53"/>
      <c r="K122" s="53"/>
      <c r="L122" s="53"/>
      <c r="M122" s="53"/>
      <c r="N122" s="53"/>
      <c r="O122" s="53"/>
      <c r="P122" s="33">
        <f>I122+J122+K122+L122+M122+N122+O122</f>
        <v>10000</v>
      </c>
      <c r="Q122" s="52"/>
      <c r="R122" s="52"/>
      <c r="S122" s="52"/>
      <c r="T122" s="52"/>
      <c r="U122" s="52"/>
      <c r="V122" s="52">
        <v>1411.68</v>
      </c>
      <c r="W122" s="52"/>
      <c r="X122" s="52"/>
      <c r="Y122" s="52"/>
      <c r="Z122" s="52"/>
      <c r="AA122" s="52"/>
      <c r="AB122" s="52"/>
      <c r="AC122" s="34">
        <f>SUM(Q122:AB122)</f>
        <v>1411.68</v>
      </c>
      <c r="AD122" s="35">
        <f t="shared" si="52"/>
        <v>14.1168</v>
      </c>
      <c r="AE122" s="315" t="s">
        <v>37</v>
      </c>
    </row>
    <row r="123" spans="1:31" s="42" customFormat="1" ht="15" customHeight="1">
      <c r="A123" s="30"/>
      <c r="B123" s="43">
        <v>90095</v>
      </c>
      <c r="C123" s="43"/>
      <c r="D123" s="45" t="s">
        <v>317</v>
      </c>
      <c r="E123" s="46">
        <f>E124</f>
        <v>0</v>
      </c>
      <c r="F123" s="48">
        <f>F124</f>
        <v>0</v>
      </c>
      <c r="G123" s="49">
        <f>G124</f>
        <v>0</v>
      </c>
      <c r="H123" s="34"/>
      <c r="I123" s="48">
        <f aca="true" t="shared" si="62" ref="I123:AB123">I124</f>
        <v>0</v>
      </c>
      <c r="J123" s="49">
        <f t="shared" si="62"/>
        <v>0</v>
      </c>
      <c r="K123" s="49">
        <f t="shared" si="62"/>
        <v>0</v>
      </c>
      <c r="L123" s="49">
        <f t="shared" si="62"/>
        <v>0</v>
      </c>
      <c r="M123" s="49">
        <f t="shared" si="62"/>
        <v>1200</v>
      </c>
      <c r="N123" s="49">
        <f t="shared" si="62"/>
        <v>0</v>
      </c>
      <c r="O123" s="49">
        <f t="shared" si="62"/>
        <v>0</v>
      </c>
      <c r="P123" s="71">
        <f t="shared" si="62"/>
        <v>1200</v>
      </c>
      <c r="Q123" s="48">
        <f t="shared" si="62"/>
        <v>0</v>
      </c>
      <c r="R123" s="48">
        <f t="shared" si="62"/>
        <v>0</v>
      </c>
      <c r="S123" s="48">
        <f t="shared" si="62"/>
        <v>0</v>
      </c>
      <c r="T123" s="48">
        <f t="shared" si="62"/>
        <v>0</v>
      </c>
      <c r="U123" s="48">
        <f t="shared" si="62"/>
        <v>0</v>
      </c>
      <c r="V123" s="48">
        <f t="shared" si="62"/>
        <v>528.05</v>
      </c>
      <c r="W123" s="48">
        <f t="shared" si="62"/>
        <v>0</v>
      </c>
      <c r="X123" s="48">
        <f t="shared" si="62"/>
        <v>0</v>
      </c>
      <c r="Y123" s="48">
        <f t="shared" si="62"/>
        <v>0</v>
      </c>
      <c r="Z123" s="48">
        <f t="shared" si="62"/>
        <v>0</v>
      </c>
      <c r="AA123" s="48">
        <f t="shared" si="62"/>
        <v>0</v>
      </c>
      <c r="AB123" s="48">
        <f t="shared" si="62"/>
        <v>0</v>
      </c>
      <c r="AC123" s="72">
        <f>AC124</f>
        <v>528.05</v>
      </c>
      <c r="AD123" s="29">
        <f t="shared" si="52"/>
        <v>44.00416666666666</v>
      </c>
      <c r="AE123" s="29"/>
    </row>
    <row r="124" spans="1:31" s="42" customFormat="1" ht="12.75">
      <c r="A124" s="30"/>
      <c r="B124" s="23"/>
      <c r="C124" s="31" t="s">
        <v>669</v>
      </c>
      <c r="D124" s="32" t="s">
        <v>670</v>
      </c>
      <c r="E124" s="51"/>
      <c r="F124" s="52"/>
      <c r="G124" s="53"/>
      <c r="H124" s="34"/>
      <c r="I124" s="52"/>
      <c r="J124" s="53"/>
      <c r="K124" s="53"/>
      <c r="L124" s="53"/>
      <c r="M124" s="53">
        <v>1200</v>
      </c>
      <c r="N124" s="53"/>
      <c r="O124" s="53"/>
      <c r="P124" s="33">
        <f>I124+J124+K124+L124+M124+N124+O124</f>
        <v>1200</v>
      </c>
      <c r="Q124" s="52"/>
      <c r="R124" s="52"/>
      <c r="S124" s="52"/>
      <c r="T124" s="52"/>
      <c r="U124" s="52"/>
      <c r="V124" s="52">
        <v>528.05</v>
      </c>
      <c r="W124" s="52"/>
      <c r="X124" s="52"/>
      <c r="Y124" s="52"/>
      <c r="Z124" s="52"/>
      <c r="AA124" s="52"/>
      <c r="AB124" s="52"/>
      <c r="AC124" s="34">
        <f>SUM(Q124:AB124)</f>
        <v>528.05</v>
      </c>
      <c r="AD124" s="35">
        <f t="shared" si="52"/>
        <v>44.00416666666666</v>
      </c>
      <c r="AE124" s="315" t="s">
        <v>38</v>
      </c>
    </row>
    <row r="125" spans="1:31" s="42" customFormat="1" ht="12.75" customHeight="1" hidden="1">
      <c r="A125" s="282">
        <v>921</v>
      </c>
      <c r="B125" s="55"/>
      <c r="C125" s="55"/>
      <c r="D125" s="38" t="s">
        <v>126</v>
      </c>
      <c r="E125" s="39">
        <f aca="true" t="shared" si="63" ref="E125:T126">E126</f>
        <v>0</v>
      </c>
      <c r="F125" s="40">
        <f t="shared" si="63"/>
        <v>0</v>
      </c>
      <c r="G125" s="41">
        <f t="shared" si="63"/>
        <v>0</v>
      </c>
      <c r="H125" s="156"/>
      <c r="I125" s="40">
        <f t="shared" si="63"/>
        <v>0</v>
      </c>
      <c r="J125" s="41">
        <f t="shared" si="63"/>
        <v>0</v>
      </c>
      <c r="K125" s="41">
        <f t="shared" si="63"/>
        <v>0</v>
      </c>
      <c r="L125" s="41">
        <f t="shared" si="63"/>
        <v>0</v>
      </c>
      <c r="M125" s="41">
        <f t="shared" si="63"/>
        <v>0</v>
      </c>
      <c r="N125" s="41">
        <f t="shared" si="63"/>
        <v>0</v>
      </c>
      <c r="O125" s="41">
        <f t="shared" si="63"/>
        <v>0</v>
      </c>
      <c r="P125" s="156">
        <f>P126</f>
        <v>0</v>
      </c>
      <c r="Q125" s="40">
        <f t="shared" si="63"/>
        <v>0</v>
      </c>
      <c r="R125" s="40">
        <f t="shared" si="63"/>
        <v>0</v>
      </c>
      <c r="S125" s="40">
        <f t="shared" si="63"/>
        <v>0</v>
      </c>
      <c r="T125" s="40">
        <f t="shared" si="63"/>
        <v>0</v>
      </c>
      <c r="U125" s="40">
        <f aca="true" t="shared" si="64" ref="R125:AB126">U126</f>
        <v>0</v>
      </c>
      <c r="V125" s="40">
        <f t="shared" si="64"/>
        <v>0</v>
      </c>
      <c r="W125" s="40">
        <f t="shared" si="64"/>
        <v>0</v>
      </c>
      <c r="X125" s="40">
        <f t="shared" si="64"/>
        <v>0</v>
      </c>
      <c r="Y125" s="40">
        <f t="shared" si="64"/>
        <v>0</v>
      </c>
      <c r="Z125" s="40">
        <f t="shared" si="64"/>
        <v>0</v>
      </c>
      <c r="AA125" s="40">
        <f t="shared" si="64"/>
        <v>0</v>
      </c>
      <c r="AB125" s="40">
        <f t="shared" si="64"/>
        <v>0</v>
      </c>
      <c r="AC125" s="156">
        <f>AC126</f>
        <v>0</v>
      </c>
      <c r="AD125" s="156" t="e">
        <f t="shared" si="52"/>
        <v>#DIV/0!</v>
      </c>
      <c r="AE125" s="156"/>
    </row>
    <row r="126" spans="1:31" s="42" customFormat="1" ht="12.75" customHeight="1" hidden="1">
      <c r="A126" s="30"/>
      <c r="B126" s="43">
        <v>92116</v>
      </c>
      <c r="C126" s="43"/>
      <c r="D126" s="45" t="s">
        <v>129</v>
      </c>
      <c r="E126" s="46">
        <f t="shared" si="63"/>
        <v>0</v>
      </c>
      <c r="F126" s="48">
        <f t="shared" si="63"/>
        <v>0</v>
      </c>
      <c r="G126" s="49">
        <f t="shared" si="63"/>
        <v>0</v>
      </c>
      <c r="H126" s="72"/>
      <c r="I126" s="48">
        <f t="shared" si="63"/>
        <v>0</v>
      </c>
      <c r="J126" s="49">
        <f t="shared" si="63"/>
        <v>0</v>
      </c>
      <c r="K126" s="49">
        <f t="shared" si="63"/>
        <v>0</v>
      </c>
      <c r="L126" s="49">
        <f t="shared" si="63"/>
        <v>0</v>
      </c>
      <c r="M126" s="49">
        <f t="shared" si="63"/>
        <v>0</v>
      </c>
      <c r="N126" s="49">
        <f t="shared" si="63"/>
        <v>0</v>
      </c>
      <c r="O126" s="49">
        <f t="shared" si="63"/>
        <v>0</v>
      </c>
      <c r="P126" s="71">
        <f>P127</f>
        <v>0</v>
      </c>
      <c r="Q126" s="48">
        <f t="shared" si="63"/>
        <v>0</v>
      </c>
      <c r="R126" s="48">
        <f t="shared" si="64"/>
        <v>0</v>
      </c>
      <c r="S126" s="48">
        <f t="shared" si="64"/>
        <v>0</v>
      </c>
      <c r="T126" s="48">
        <f t="shared" si="64"/>
        <v>0</v>
      </c>
      <c r="U126" s="48">
        <f t="shared" si="64"/>
        <v>0</v>
      </c>
      <c r="V126" s="48">
        <f t="shared" si="64"/>
        <v>0</v>
      </c>
      <c r="W126" s="48">
        <f t="shared" si="64"/>
        <v>0</v>
      </c>
      <c r="X126" s="48">
        <f t="shared" si="64"/>
        <v>0</v>
      </c>
      <c r="Y126" s="48">
        <f t="shared" si="64"/>
        <v>0</v>
      </c>
      <c r="Z126" s="48">
        <f t="shared" si="64"/>
        <v>0</v>
      </c>
      <c r="AA126" s="48">
        <f t="shared" si="64"/>
        <v>0</v>
      </c>
      <c r="AB126" s="48">
        <f t="shared" si="64"/>
        <v>0</v>
      </c>
      <c r="AC126" s="72">
        <f>AC127</f>
        <v>0</v>
      </c>
      <c r="AD126" s="29" t="e">
        <f t="shared" si="52"/>
        <v>#DIV/0!</v>
      </c>
      <c r="AE126" s="29"/>
    </row>
    <row r="127" spans="1:31" s="42" customFormat="1" ht="54.75" customHeight="1" hidden="1">
      <c r="A127" s="30"/>
      <c r="B127" s="43"/>
      <c r="C127" s="78">
        <v>2020</v>
      </c>
      <c r="D127" s="79" t="s">
        <v>619</v>
      </c>
      <c r="E127" s="51"/>
      <c r="F127" s="52"/>
      <c r="G127" s="53"/>
      <c r="H127" s="34"/>
      <c r="I127" s="52"/>
      <c r="J127" s="53"/>
      <c r="K127" s="53"/>
      <c r="L127" s="53"/>
      <c r="M127" s="53"/>
      <c r="N127" s="53"/>
      <c r="O127" s="53"/>
      <c r="P127" s="33">
        <f>I127+J127+K127+L127+M127+N127+O127</f>
        <v>0</v>
      </c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34">
        <f>SUM(Q127:AB127)</f>
        <v>0</v>
      </c>
      <c r="AD127" s="35" t="e">
        <f t="shared" si="52"/>
        <v>#DIV/0!</v>
      </c>
      <c r="AE127" s="35"/>
    </row>
    <row r="128" spans="1:31" s="14" customFormat="1" ht="15.75">
      <c r="A128" s="92"/>
      <c r="B128" s="93"/>
      <c r="C128" s="93"/>
      <c r="D128" s="92" t="s">
        <v>462</v>
      </c>
      <c r="E128" s="94">
        <f>E9+E12+E18+E25+E31+E38+E41+E72+E81+E100+E120+E125+E117+E6</f>
        <v>17007496</v>
      </c>
      <c r="F128" s="96">
        <f>F9+F12+F18+F25+F31+F38+F41+F72+F81+F100+F120+F125+F117+F6</f>
        <v>17957721</v>
      </c>
      <c r="G128" s="97">
        <f>G9+G12+G18+G25+G31+G38+G41+G72+G81+G100+G120+G125+G117+G6</f>
        <v>17825130</v>
      </c>
      <c r="H128" s="95"/>
      <c r="I128" s="96">
        <f aca="true" t="shared" si="65" ref="I128:AC128">I9+I12+I18+I25+I31+I38+I41+I72+I81+I100+I120+I125+I117+I6</f>
        <v>17825130</v>
      </c>
      <c r="J128" s="97">
        <f t="shared" si="65"/>
        <v>4299511</v>
      </c>
      <c r="K128" s="97">
        <f t="shared" si="65"/>
        <v>48270</v>
      </c>
      <c r="L128" s="97">
        <f t="shared" si="65"/>
        <v>273022</v>
      </c>
      <c r="M128" s="97" t="e">
        <f t="shared" si="65"/>
        <v>#REF!</v>
      </c>
      <c r="N128" s="97">
        <f t="shared" si="65"/>
        <v>0</v>
      </c>
      <c r="O128" s="97">
        <f t="shared" si="65"/>
        <v>0</v>
      </c>
      <c r="P128" s="96">
        <f t="shared" si="65"/>
        <v>22787139</v>
      </c>
      <c r="Q128" s="96">
        <f t="shared" si="65"/>
        <v>977760.21</v>
      </c>
      <c r="R128" s="96">
        <f t="shared" si="65"/>
        <v>1304264.2</v>
      </c>
      <c r="S128" s="96">
        <f t="shared" si="65"/>
        <v>1171945.25</v>
      </c>
      <c r="T128" s="96">
        <f t="shared" si="65"/>
        <v>1063898.63</v>
      </c>
      <c r="U128" s="96">
        <f t="shared" si="65"/>
        <v>5235530.12</v>
      </c>
      <c r="V128" s="96" t="e">
        <f t="shared" si="65"/>
        <v>#REF!</v>
      </c>
      <c r="W128" s="96" t="e">
        <f t="shared" si="65"/>
        <v>#REF!</v>
      </c>
      <c r="X128" s="96" t="e">
        <f t="shared" si="65"/>
        <v>#REF!</v>
      </c>
      <c r="Y128" s="96" t="e">
        <f t="shared" si="65"/>
        <v>#REF!</v>
      </c>
      <c r="Z128" s="96" t="e">
        <f t="shared" si="65"/>
        <v>#REF!</v>
      </c>
      <c r="AA128" s="96" t="e">
        <f t="shared" si="65"/>
        <v>#REF!</v>
      </c>
      <c r="AB128" s="96" t="e">
        <f t="shared" si="65"/>
        <v>#REF!</v>
      </c>
      <c r="AC128" s="96">
        <f t="shared" si="65"/>
        <v>10683466.15</v>
      </c>
      <c r="AD128" s="96">
        <f t="shared" si="52"/>
        <v>46.88375381393865</v>
      </c>
      <c r="AE128" s="96"/>
    </row>
    <row r="129" spans="5:28" s="42" customFormat="1" ht="12.75">
      <c r="E129" s="98"/>
      <c r="F129" s="99"/>
      <c r="G129" s="100"/>
      <c r="I129" s="99"/>
      <c r="J129" s="99"/>
      <c r="K129" s="100"/>
      <c r="L129" s="100"/>
      <c r="M129" s="100"/>
      <c r="N129" s="100"/>
      <c r="O129" s="100"/>
      <c r="P129" s="66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</row>
    <row r="130" spans="5:28" s="42" customFormat="1" ht="12.75">
      <c r="E130" s="101"/>
      <c r="F130" s="102"/>
      <c r="G130" s="103"/>
      <c r="H130" s="73"/>
      <c r="I130" s="102"/>
      <c r="J130" s="102"/>
      <c r="K130" s="103"/>
      <c r="L130" s="103"/>
      <c r="M130" s="103"/>
      <c r="N130" s="103"/>
      <c r="O130" s="103"/>
      <c r="P130" s="104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</row>
    <row r="131" spans="4:29" s="42" customFormat="1" ht="12.75">
      <c r="D131" s="42">
        <v>201</v>
      </c>
      <c r="E131" s="105">
        <f>E104+E102+E40+E33+E27</f>
        <v>1275120</v>
      </c>
      <c r="F131" s="106">
        <f>F104+F102+F40+F33+F27</f>
        <v>1275120</v>
      </c>
      <c r="G131" s="107">
        <f>G104+G102+G40+G33+G27</f>
        <v>1275090</v>
      </c>
      <c r="H131" s="73"/>
      <c r="I131" s="106">
        <f>I104+I102+I40+I33+I27</f>
        <v>1275090</v>
      </c>
      <c r="J131" s="106"/>
      <c r="K131" s="107">
        <f>K104+K102+K40+K33+K27</f>
        <v>56100</v>
      </c>
      <c r="L131" s="107">
        <f>L104+L102+L40+L33+L27</f>
        <v>0</v>
      </c>
      <c r="M131" s="107">
        <f>M104+M102+M40+M33+M27</f>
        <v>0</v>
      </c>
      <c r="N131" s="107">
        <f>N104+N102+N40+N33+N27</f>
        <v>0</v>
      </c>
      <c r="O131" s="107">
        <f>O104+O102+O40+O33+O27</f>
        <v>0</v>
      </c>
      <c r="P131" s="106">
        <f>P104+P102+P40+P33+P27+P106</f>
        <v>1364490</v>
      </c>
      <c r="Q131" s="106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6">
        <f>AC104+AC102+AC40+AC33+AC27+AC106</f>
        <v>834271</v>
      </c>
    </row>
    <row r="132" spans="4:29" s="42" customFormat="1" ht="12.75">
      <c r="D132" s="75">
        <v>203</v>
      </c>
      <c r="E132" s="101">
        <f>E116+E107</f>
        <v>44524</v>
      </c>
      <c r="F132" s="102">
        <f>F116+F107</f>
        <v>44524</v>
      </c>
      <c r="G132" s="103">
        <f>G116+G107</f>
        <v>44524</v>
      </c>
      <c r="H132" s="73"/>
      <c r="I132" s="102">
        <f>I116+I107</f>
        <v>44524</v>
      </c>
      <c r="J132" s="102"/>
      <c r="K132" s="103">
        <f>K116+K107</f>
        <v>0</v>
      </c>
      <c r="L132" s="103">
        <f>L116+L107</f>
        <v>10725</v>
      </c>
      <c r="M132" s="103">
        <f>M116+M107</f>
        <v>7361</v>
      </c>
      <c r="N132" s="103">
        <f>N116+N107</f>
        <v>0</v>
      </c>
      <c r="O132" s="103">
        <f>O116+O107</f>
        <v>0</v>
      </c>
      <c r="P132" s="102">
        <f>P116+P107+P119+P111+P84</f>
        <v>148942</v>
      </c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>
        <f>AC116+AC107+AC119+AC111+AC84</f>
        <v>96383</v>
      </c>
    </row>
    <row r="133" spans="4:28" s="42" customFormat="1" ht="12.75">
      <c r="D133" s="75">
        <v>292</v>
      </c>
      <c r="E133" s="101"/>
      <c r="F133" s="102"/>
      <c r="G133" s="103"/>
      <c r="H133" s="73"/>
      <c r="I133" s="102"/>
      <c r="J133" s="102"/>
      <c r="K133" s="103"/>
      <c r="L133" s="103"/>
      <c r="M133" s="103"/>
      <c r="N133" s="103"/>
      <c r="O133" s="103"/>
      <c r="P133" s="104">
        <f>P74+P76</f>
        <v>4340772</v>
      </c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</row>
    <row r="134" spans="4:17" ht="12.75">
      <c r="D134" s="3">
        <v>629</v>
      </c>
      <c r="E134" s="111"/>
      <c r="F134" s="108"/>
      <c r="G134" s="109"/>
      <c r="I134" s="108"/>
      <c r="J134" s="108"/>
      <c r="K134" s="109"/>
      <c r="L134" s="109"/>
      <c r="M134" s="109"/>
      <c r="N134" s="109"/>
      <c r="O134" s="109"/>
      <c r="P134" s="110">
        <f>P8+P91</f>
        <v>1136570</v>
      </c>
      <c r="Q134" s="108"/>
    </row>
    <row r="135" ht="12.75">
      <c r="P135" s="8"/>
    </row>
    <row r="136" spans="5:17" ht="12.75">
      <c r="E136" s="111">
        <f>E128-F128</f>
        <v>-950225</v>
      </c>
      <c r="F136" s="108"/>
      <c r="G136" s="109"/>
      <c r="I136" s="108"/>
      <c r="J136" s="108"/>
      <c r="K136" s="109"/>
      <c r="L136" s="109"/>
      <c r="M136" s="109"/>
      <c r="N136" s="109"/>
      <c r="O136" s="109"/>
      <c r="P136" s="8"/>
      <c r="Q136" s="108"/>
    </row>
    <row r="137" ht="12.75">
      <c r="P137" s="8"/>
    </row>
    <row r="138" ht="12.75">
      <c r="P138" s="8"/>
    </row>
    <row r="139" ht="12.75">
      <c r="P139" s="8"/>
    </row>
    <row r="140" ht="12.75">
      <c r="P140" s="8"/>
    </row>
    <row r="141" ht="12.75">
      <c r="P141" s="8"/>
    </row>
    <row r="142" ht="12.75">
      <c r="P142" s="8"/>
    </row>
    <row r="143" ht="12.75">
      <c r="P143" s="8"/>
    </row>
    <row r="144" ht="12.75">
      <c r="P144" s="8"/>
    </row>
    <row r="145" ht="12.75">
      <c r="P145" s="8"/>
    </row>
    <row r="146" ht="12.75">
      <c r="P146" s="8"/>
    </row>
    <row r="147" ht="12.75">
      <c r="P147" s="8"/>
    </row>
    <row r="148" ht="12.75">
      <c r="P148" s="8"/>
    </row>
    <row r="149" ht="12.75">
      <c r="P149" s="8"/>
    </row>
    <row r="150" ht="12.75">
      <c r="P150" s="8"/>
    </row>
    <row r="151" ht="12.75">
      <c r="P151" s="8"/>
    </row>
    <row r="152" ht="12.75">
      <c r="P152" s="8"/>
    </row>
    <row r="153" ht="12.75">
      <c r="P153" s="8"/>
    </row>
    <row r="154" ht="12.75">
      <c r="P154" s="8"/>
    </row>
    <row r="155" ht="12.75">
      <c r="P155" s="8"/>
    </row>
    <row r="156" ht="12.75">
      <c r="P156" s="8"/>
    </row>
    <row r="157" ht="12.75">
      <c r="P157" s="8"/>
    </row>
    <row r="158" ht="12.75">
      <c r="P158" s="8"/>
    </row>
    <row r="159" ht="12.75">
      <c r="P159" s="8"/>
    </row>
    <row r="160" ht="12.75">
      <c r="P160" s="8"/>
    </row>
    <row r="161" ht="12.75">
      <c r="P161" s="8"/>
    </row>
    <row r="162" ht="12.75">
      <c r="P162" s="8"/>
    </row>
    <row r="163" ht="12.75">
      <c r="P163" s="8"/>
    </row>
    <row r="164" ht="12.75">
      <c r="P164" s="8"/>
    </row>
    <row r="165" ht="12.75">
      <c r="P165" s="8"/>
    </row>
    <row r="166" ht="12.75">
      <c r="P166" s="8"/>
    </row>
    <row r="167" ht="12.75">
      <c r="P167" s="8"/>
    </row>
    <row r="168" ht="12.75">
      <c r="P168" s="8"/>
    </row>
    <row r="169" ht="12.75">
      <c r="P169" s="8"/>
    </row>
    <row r="170" ht="12.75">
      <c r="P170" s="8"/>
    </row>
    <row r="171" ht="12.75">
      <c r="P171" s="8"/>
    </row>
    <row r="172" ht="12.75">
      <c r="P172" s="8"/>
    </row>
    <row r="173" ht="12.75">
      <c r="P173" s="8"/>
    </row>
    <row r="174" ht="12.75">
      <c r="P174" s="8"/>
    </row>
    <row r="175" ht="12.75">
      <c r="P175" s="8"/>
    </row>
    <row r="176" ht="12.75">
      <c r="P176" s="8"/>
    </row>
    <row r="177" ht="12.75">
      <c r="P177" s="8"/>
    </row>
    <row r="178" ht="12.75">
      <c r="P178" s="8"/>
    </row>
    <row r="179" ht="12.75">
      <c r="P179" s="8"/>
    </row>
    <row r="180" ht="12.75">
      <c r="P180" s="8"/>
    </row>
    <row r="181" ht="12.75">
      <c r="P181" s="8"/>
    </row>
    <row r="182" ht="12.75">
      <c r="P182" s="8"/>
    </row>
    <row r="183" ht="12.75">
      <c r="P183" s="8"/>
    </row>
    <row r="184" ht="12.75">
      <c r="P184" s="8"/>
    </row>
    <row r="185" ht="12.75">
      <c r="P185" s="8"/>
    </row>
    <row r="186" ht="12.75">
      <c r="P186" s="8"/>
    </row>
    <row r="187" ht="12.75">
      <c r="P187" s="8"/>
    </row>
    <row r="188" ht="12.75">
      <c r="P188" s="8"/>
    </row>
    <row r="189" ht="12.75">
      <c r="P189" s="8"/>
    </row>
    <row r="190" ht="12.75">
      <c r="P190" s="8"/>
    </row>
    <row r="191" ht="12.75">
      <c r="P191" s="8"/>
    </row>
    <row r="192" ht="12.75">
      <c r="P192" s="8"/>
    </row>
    <row r="193" ht="12.75">
      <c r="P193" s="8"/>
    </row>
    <row r="194" ht="12.75">
      <c r="P194" s="8"/>
    </row>
    <row r="195" ht="12.75">
      <c r="P195" s="8"/>
    </row>
    <row r="196" ht="12.75">
      <c r="P196" s="8"/>
    </row>
    <row r="197" ht="12.75">
      <c r="P197" s="8"/>
    </row>
    <row r="198" ht="12.75">
      <c r="P198" s="8"/>
    </row>
    <row r="199" ht="12.75">
      <c r="P199" s="8"/>
    </row>
    <row r="200" ht="12.75">
      <c r="P200" s="8"/>
    </row>
    <row r="201" ht="12.75">
      <c r="P201" s="8"/>
    </row>
    <row r="202" ht="12.75">
      <c r="P202" s="8"/>
    </row>
    <row r="203" ht="12.75">
      <c r="P203" s="8"/>
    </row>
    <row r="204" ht="12.75">
      <c r="P204" s="8"/>
    </row>
    <row r="205" ht="12.75">
      <c r="P205" s="8"/>
    </row>
    <row r="206" ht="12.75">
      <c r="P206" s="8"/>
    </row>
    <row r="207" ht="12.75">
      <c r="P207" s="8"/>
    </row>
    <row r="208" ht="12.75">
      <c r="P208" s="8"/>
    </row>
    <row r="209" ht="12.75">
      <c r="P209" s="8"/>
    </row>
    <row r="210" ht="12.75">
      <c r="P210" s="8"/>
    </row>
    <row r="211" ht="12.75">
      <c r="P211" s="8"/>
    </row>
    <row r="212" ht="12.75">
      <c r="P212" s="8"/>
    </row>
    <row r="213" ht="12.75">
      <c r="P213" s="8"/>
    </row>
    <row r="214" ht="12.75">
      <c r="P214" s="8"/>
    </row>
    <row r="215" ht="12.75">
      <c r="P215" s="8"/>
    </row>
    <row r="216" ht="12.75">
      <c r="P216" s="8"/>
    </row>
    <row r="217" ht="12.75">
      <c r="P217" s="8"/>
    </row>
    <row r="218" ht="12.75">
      <c r="P218" s="8"/>
    </row>
    <row r="219" ht="12.75">
      <c r="P219" s="8"/>
    </row>
    <row r="220" ht="12.75">
      <c r="P220" s="8"/>
    </row>
    <row r="221" ht="12.75">
      <c r="P221" s="8"/>
    </row>
    <row r="222" ht="12.75">
      <c r="P222" s="8"/>
    </row>
    <row r="223" ht="12.75">
      <c r="P223" s="8"/>
    </row>
    <row r="224" ht="12.75">
      <c r="P224" s="8"/>
    </row>
    <row r="225" ht="12.75">
      <c r="P225" s="8"/>
    </row>
    <row r="226" ht="12.75">
      <c r="P226" s="8"/>
    </row>
    <row r="227" ht="12.75">
      <c r="P227" s="8"/>
    </row>
    <row r="228" ht="12.75">
      <c r="P228" s="8"/>
    </row>
    <row r="229" ht="12.75">
      <c r="P229" s="8"/>
    </row>
    <row r="230" ht="12.75">
      <c r="P230" s="8"/>
    </row>
    <row r="231" ht="12.75">
      <c r="P231" s="8"/>
    </row>
    <row r="232" ht="12.75">
      <c r="P232" s="8"/>
    </row>
    <row r="233" ht="12.75">
      <c r="P233" s="8"/>
    </row>
    <row r="234" ht="12.75">
      <c r="P234" s="8"/>
    </row>
    <row r="235" ht="12.75">
      <c r="P235" s="8"/>
    </row>
    <row r="236" ht="12.75">
      <c r="P236" s="8"/>
    </row>
    <row r="237" ht="12.75">
      <c r="P237" s="8"/>
    </row>
    <row r="238" ht="12.75">
      <c r="P238" s="8"/>
    </row>
    <row r="239" ht="12.75">
      <c r="P239" s="8"/>
    </row>
    <row r="240" ht="12.75">
      <c r="P240" s="8"/>
    </row>
    <row r="241" ht="12.75">
      <c r="P241" s="8"/>
    </row>
    <row r="242" ht="12.75">
      <c r="P242" s="8"/>
    </row>
    <row r="243" ht="12.75">
      <c r="P243" s="8"/>
    </row>
    <row r="244" ht="12.75">
      <c r="P244" s="8"/>
    </row>
    <row r="245" ht="12.75">
      <c r="P245" s="8"/>
    </row>
    <row r="246" ht="12.75">
      <c r="P246" s="8"/>
    </row>
    <row r="247" ht="12.75">
      <c r="P247" s="8"/>
    </row>
    <row r="248" ht="12.75">
      <c r="P248" s="8"/>
    </row>
    <row r="249" ht="12.75">
      <c r="P249" s="8"/>
    </row>
    <row r="250" ht="12.75">
      <c r="P250" s="8"/>
    </row>
    <row r="251" ht="12.75">
      <c r="P251" s="8"/>
    </row>
    <row r="252" ht="12.75">
      <c r="P252" s="8"/>
    </row>
    <row r="253" ht="12.75">
      <c r="P253" s="8"/>
    </row>
    <row r="254" ht="12.75">
      <c r="P254" s="8"/>
    </row>
    <row r="255" ht="12.75">
      <c r="P255" s="8"/>
    </row>
    <row r="256" ht="12.75">
      <c r="P256" s="8"/>
    </row>
    <row r="257" ht="12.75">
      <c r="P257" s="8"/>
    </row>
    <row r="258" ht="12.75">
      <c r="P258" s="8"/>
    </row>
    <row r="259" ht="12.75">
      <c r="P259" s="8"/>
    </row>
    <row r="260" ht="12.75">
      <c r="P260" s="8"/>
    </row>
    <row r="261" ht="12.75">
      <c r="P261" s="8"/>
    </row>
    <row r="262" ht="12.75">
      <c r="P262" s="8"/>
    </row>
    <row r="263" ht="12.75">
      <c r="P263" s="8"/>
    </row>
    <row r="264" ht="12.75">
      <c r="P264" s="8"/>
    </row>
    <row r="265" ht="12.75">
      <c r="P265" s="8"/>
    </row>
    <row r="266" ht="12.75">
      <c r="P266" s="8"/>
    </row>
    <row r="267" ht="12.75">
      <c r="P267" s="8"/>
    </row>
    <row r="268" ht="12.75">
      <c r="P268" s="8"/>
    </row>
    <row r="269" ht="12.75">
      <c r="P269" s="8"/>
    </row>
    <row r="270" ht="12.75">
      <c r="P270" s="8"/>
    </row>
    <row r="271" ht="12.75">
      <c r="P271" s="8"/>
    </row>
    <row r="272" ht="12.75">
      <c r="P272" s="8"/>
    </row>
    <row r="273" ht="12.75">
      <c r="P273" s="8"/>
    </row>
    <row r="274" ht="12.75">
      <c r="P274" s="8"/>
    </row>
    <row r="275" ht="12.75">
      <c r="P275" s="8"/>
    </row>
    <row r="276" ht="12.75">
      <c r="P276" s="8"/>
    </row>
    <row r="277" ht="12.75">
      <c r="P277" s="8"/>
    </row>
    <row r="278" ht="12.75">
      <c r="P278" s="8"/>
    </row>
    <row r="279" ht="12.75">
      <c r="P279" s="8"/>
    </row>
    <row r="280" ht="12.75">
      <c r="P280" s="8"/>
    </row>
    <row r="281" ht="12.75">
      <c r="P281" s="8"/>
    </row>
    <row r="282" ht="12.75">
      <c r="P282" s="8"/>
    </row>
    <row r="283" ht="12.75">
      <c r="P283" s="8"/>
    </row>
    <row r="284" ht="12.75">
      <c r="P284" s="8"/>
    </row>
    <row r="285" ht="12.75">
      <c r="P285" s="8"/>
    </row>
    <row r="286" ht="12.75">
      <c r="P286" s="8"/>
    </row>
    <row r="287" ht="12.75">
      <c r="P287" s="8"/>
    </row>
    <row r="288" ht="12.75">
      <c r="P288" s="8"/>
    </row>
    <row r="289" ht="12.75">
      <c r="P289" s="8"/>
    </row>
    <row r="290" ht="12.75">
      <c r="P290" s="8"/>
    </row>
    <row r="291" ht="12.75">
      <c r="P291" s="8"/>
    </row>
    <row r="292" ht="12.75">
      <c r="P292" s="8"/>
    </row>
    <row r="293" ht="12.75">
      <c r="P293" s="8"/>
    </row>
    <row r="294" ht="12.75">
      <c r="P294" s="8"/>
    </row>
    <row r="295" ht="12.75">
      <c r="P295" s="8"/>
    </row>
    <row r="296" ht="12.75">
      <c r="P296" s="8"/>
    </row>
    <row r="297" ht="12.75">
      <c r="P297" s="8"/>
    </row>
    <row r="298" ht="12.75">
      <c r="P298" s="8"/>
    </row>
    <row r="299" ht="12.75">
      <c r="P299" s="8"/>
    </row>
    <row r="300" ht="12.75">
      <c r="P300" s="8"/>
    </row>
    <row r="301" ht="12.75">
      <c r="P301" s="8"/>
    </row>
    <row r="302" ht="12.75">
      <c r="P302" s="8"/>
    </row>
    <row r="303" ht="12.75">
      <c r="P303" s="8"/>
    </row>
    <row r="304" ht="12.75">
      <c r="P304" s="8"/>
    </row>
    <row r="305" ht="12.75">
      <c r="P305" s="8"/>
    </row>
    <row r="306" ht="12.75">
      <c r="P306" s="8"/>
    </row>
    <row r="307" ht="12.75">
      <c r="P307" s="8"/>
    </row>
    <row r="308" ht="12.75">
      <c r="P308" s="8"/>
    </row>
    <row r="309" ht="12.75">
      <c r="P309" s="8"/>
    </row>
    <row r="310" ht="12.75">
      <c r="P310" s="8"/>
    </row>
    <row r="311" ht="12.75">
      <c r="P311" s="8"/>
    </row>
    <row r="312" ht="12.75">
      <c r="P312" s="8"/>
    </row>
    <row r="313" ht="12.75">
      <c r="P313" s="8"/>
    </row>
    <row r="314" ht="12.75">
      <c r="P314" s="8"/>
    </row>
    <row r="315" ht="12.75">
      <c r="P315" s="8"/>
    </row>
    <row r="316" ht="12.75">
      <c r="P316" s="8"/>
    </row>
    <row r="317" ht="12.75">
      <c r="P317" s="8"/>
    </row>
    <row r="318" ht="12.75">
      <c r="P318" s="8"/>
    </row>
    <row r="319" ht="12.75">
      <c r="P319" s="8"/>
    </row>
    <row r="320" ht="12.75">
      <c r="P320" s="8"/>
    </row>
    <row r="321" ht="12.75">
      <c r="P321" s="8"/>
    </row>
    <row r="322" ht="12.75">
      <c r="P322" s="8"/>
    </row>
    <row r="323" ht="12.75">
      <c r="P323" s="8"/>
    </row>
    <row r="324" ht="12.75">
      <c r="P324" s="8"/>
    </row>
    <row r="325" ht="12.75">
      <c r="P325" s="8"/>
    </row>
    <row r="326" ht="12.75">
      <c r="P326" s="8"/>
    </row>
    <row r="327" ht="12.75">
      <c r="P327" s="8"/>
    </row>
    <row r="328" ht="12.75">
      <c r="P328" s="8"/>
    </row>
    <row r="329" ht="12.75">
      <c r="P329" s="8"/>
    </row>
    <row r="330" ht="12.75">
      <c r="P330" s="8"/>
    </row>
    <row r="331" ht="12.75">
      <c r="P331" s="8"/>
    </row>
    <row r="332" ht="12.75">
      <c r="P332" s="8"/>
    </row>
    <row r="333" ht="12.75">
      <c r="P333" s="8"/>
    </row>
    <row r="334" ht="12.75">
      <c r="P334" s="8"/>
    </row>
    <row r="335" ht="12.75">
      <c r="P335" s="8"/>
    </row>
    <row r="336" ht="12.75">
      <c r="P336" s="8"/>
    </row>
    <row r="337" ht="12.75">
      <c r="P337" s="8"/>
    </row>
    <row r="338" ht="12.75">
      <c r="P338" s="8"/>
    </row>
    <row r="339" ht="12.75">
      <c r="P339" s="8"/>
    </row>
    <row r="340" ht="12.75">
      <c r="P340" s="8"/>
    </row>
    <row r="341" ht="12.75">
      <c r="P341" s="8"/>
    </row>
    <row r="342" ht="12.75">
      <c r="P342" s="8"/>
    </row>
    <row r="343" ht="12.75">
      <c r="P343" s="8"/>
    </row>
    <row r="344" ht="12.75">
      <c r="P344" s="8"/>
    </row>
    <row r="345" ht="12.75">
      <c r="P345" s="8"/>
    </row>
    <row r="346" ht="12.75">
      <c r="P346" s="8"/>
    </row>
    <row r="347" ht="12.75">
      <c r="P347" s="8"/>
    </row>
    <row r="348" ht="12.75">
      <c r="P348" s="8"/>
    </row>
    <row r="349" ht="12.75">
      <c r="P349" s="8"/>
    </row>
    <row r="350" ht="12.75">
      <c r="P350" s="8"/>
    </row>
    <row r="351" ht="12.75">
      <c r="P351" s="8"/>
    </row>
    <row r="352" ht="12.75">
      <c r="P352" s="8"/>
    </row>
    <row r="353" ht="12.75">
      <c r="P353" s="8"/>
    </row>
    <row r="354" ht="12.75">
      <c r="P354" s="8"/>
    </row>
    <row r="355" ht="12.75">
      <c r="P355" s="8"/>
    </row>
    <row r="356" ht="12.75">
      <c r="P356" s="8"/>
    </row>
    <row r="357" ht="12.75">
      <c r="P357" s="8"/>
    </row>
    <row r="358" ht="12.75">
      <c r="P358" s="8"/>
    </row>
    <row r="359" ht="12.75">
      <c r="P359" s="8"/>
    </row>
    <row r="360" ht="12.75">
      <c r="P360" s="8"/>
    </row>
    <row r="361" ht="12.75">
      <c r="P361" s="8"/>
    </row>
    <row r="362" ht="12.75">
      <c r="P362" s="8"/>
    </row>
    <row r="363" ht="12.75">
      <c r="P363" s="8"/>
    </row>
    <row r="364" ht="12.75">
      <c r="P364" s="8"/>
    </row>
    <row r="365" ht="12.75">
      <c r="P365" s="8"/>
    </row>
    <row r="366" ht="12.75">
      <c r="P366" s="8"/>
    </row>
    <row r="367" ht="12.75">
      <c r="P367" s="8"/>
    </row>
    <row r="368" ht="12.75">
      <c r="P368" s="8"/>
    </row>
    <row r="369" ht="12.75">
      <c r="P369" s="8"/>
    </row>
    <row r="370" ht="12.75">
      <c r="P370" s="8"/>
    </row>
    <row r="371" ht="12.75">
      <c r="P371" s="8"/>
    </row>
    <row r="372" ht="12.75">
      <c r="P372" s="8"/>
    </row>
    <row r="373" ht="12.75">
      <c r="P373" s="8"/>
    </row>
    <row r="374" ht="12.75">
      <c r="P374" s="8"/>
    </row>
    <row r="375" ht="12.75">
      <c r="P375" s="8"/>
    </row>
    <row r="376" ht="12.75">
      <c r="P376" s="8"/>
    </row>
    <row r="377" ht="12.75">
      <c r="P377" s="8"/>
    </row>
    <row r="378" ht="12.75">
      <c r="P378" s="8"/>
    </row>
    <row r="379" ht="12.75">
      <c r="P379" s="8"/>
    </row>
    <row r="380" ht="12.75">
      <c r="P380" s="8"/>
    </row>
    <row r="381" ht="12.75">
      <c r="P381" s="8"/>
    </row>
    <row r="382" ht="12.75">
      <c r="P382" s="8"/>
    </row>
    <row r="383" ht="12.75">
      <c r="P383" s="8"/>
    </row>
    <row r="384" ht="12.75">
      <c r="P384" s="8"/>
    </row>
    <row r="385" ht="12.75">
      <c r="P385" s="8"/>
    </row>
    <row r="386" ht="12.75">
      <c r="P386" s="8"/>
    </row>
    <row r="387" ht="12.75">
      <c r="P387" s="8"/>
    </row>
    <row r="388" ht="12.75">
      <c r="P388" s="8"/>
    </row>
    <row r="389" ht="12.75">
      <c r="P389" s="8"/>
    </row>
    <row r="390" ht="12.75">
      <c r="P390" s="8"/>
    </row>
    <row r="391" ht="12.75">
      <c r="P391" s="8"/>
    </row>
    <row r="392" ht="12.75">
      <c r="P392" s="8"/>
    </row>
    <row r="393" ht="12.75">
      <c r="P393" s="8"/>
    </row>
    <row r="394" ht="12.75">
      <c r="P394" s="8"/>
    </row>
    <row r="395" ht="12.75">
      <c r="P395" s="8"/>
    </row>
    <row r="396" ht="12.75">
      <c r="P396" s="8"/>
    </row>
    <row r="397" ht="12.75">
      <c r="P397" s="8"/>
    </row>
    <row r="398" ht="12.75">
      <c r="P398" s="8"/>
    </row>
    <row r="399" ht="12.75">
      <c r="P399" s="8"/>
    </row>
    <row r="400" ht="12.75">
      <c r="P400" s="8"/>
    </row>
    <row r="401" ht="12.75">
      <c r="P401" s="8"/>
    </row>
    <row r="402" ht="12.75">
      <c r="P402" s="8"/>
    </row>
    <row r="403" ht="12.75">
      <c r="P403" s="8"/>
    </row>
    <row r="404" ht="12.75">
      <c r="P404" s="8"/>
    </row>
    <row r="405" ht="12.75">
      <c r="P405" s="8"/>
    </row>
    <row r="406" ht="12.75">
      <c r="P406" s="8"/>
    </row>
    <row r="407" ht="12.75">
      <c r="P407" s="8"/>
    </row>
    <row r="408" ht="12.75">
      <c r="P408" s="8"/>
    </row>
    <row r="409" ht="12.75">
      <c r="P409" s="8"/>
    </row>
    <row r="410" ht="12.75">
      <c r="P410" s="8"/>
    </row>
    <row r="411" ht="12.75">
      <c r="P411" s="8"/>
    </row>
    <row r="412" ht="12.75">
      <c r="P412" s="8"/>
    </row>
    <row r="413" ht="12.75">
      <c r="P413" s="8"/>
    </row>
    <row r="414" ht="12.75">
      <c r="P414" s="8"/>
    </row>
    <row r="415" ht="12.75">
      <c r="P415" s="8"/>
    </row>
    <row r="416" ht="12.75">
      <c r="P416" s="8"/>
    </row>
    <row r="417" ht="12.75">
      <c r="P417" s="8"/>
    </row>
    <row r="418" ht="12.75">
      <c r="P418" s="8"/>
    </row>
    <row r="419" ht="12.75">
      <c r="P419" s="8"/>
    </row>
    <row r="420" ht="12.75">
      <c r="P420" s="8"/>
    </row>
    <row r="421" ht="12.75">
      <c r="P421" s="8"/>
    </row>
    <row r="422" ht="12.75">
      <c r="P422" s="8"/>
    </row>
    <row r="423" ht="12.75">
      <c r="P423" s="8"/>
    </row>
    <row r="424" ht="12.75">
      <c r="P424" s="8"/>
    </row>
    <row r="425" ht="12.75">
      <c r="P425" s="8"/>
    </row>
    <row r="426" ht="12.75">
      <c r="P426" s="8"/>
    </row>
    <row r="427" ht="12.75">
      <c r="P427" s="8"/>
    </row>
    <row r="428" ht="12.75">
      <c r="P428" s="8"/>
    </row>
    <row r="429" ht="12.75">
      <c r="P429" s="8"/>
    </row>
    <row r="430" ht="12.75">
      <c r="P430" s="8"/>
    </row>
    <row r="431" ht="12.75">
      <c r="P431" s="8"/>
    </row>
    <row r="432" ht="12.75">
      <c r="P432" s="8"/>
    </row>
    <row r="433" ht="12.75">
      <c r="P433" s="8"/>
    </row>
    <row r="434" ht="12.75">
      <c r="P434" s="8"/>
    </row>
    <row r="435" ht="12.75">
      <c r="P435" s="8"/>
    </row>
    <row r="436" ht="12.75">
      <c r="P436" s="8"/>
    </row>
    <row r="437" ht="12.75">
      <c r="P437" s="8"/>
    </row>
    <row r="438" ht="12.75">
      <c r="P438" s="8"/>
    </row>
    <row r="439" ht="12.75">
      <c r="P439" s="8"/>
    </row>
    <row r="440" ht="12.75">
      <c r="P440" s="8"/>
    </row>
    <row r="441" ht="12.75">
      <c r="P441" s="8"/>
    </row>
    <row r="442" ht="12.75">
      <c r="P442" s="8"/>
    </row>
    <row r="443" ht="12.75">
      <c r="P443" s="8"/>
    </row>
    <row r="444" ht="12.75">
      <c r="P444" s="8"/>
    </row>
    <row r="445" ht="12.75">
      <c r="P445" s="8"/>
    </row>
    <row r="446" ht="12.75">
      <c r="P446" s="8"/>
    </row>
    <row r="447" ht="12.75">
      <c r="P447" s="8"/>
    </row>
    <row r="448" ht="12.75">
      <c r="P448" s="8"/>
    </row>
    <row r="449" ht="12.75">
      <c r="P449" s="8"/>
    </row>
    <row r="450" ht="12.75">
      <c r="P450" s="8"/>
    </row>
    <row r="451" ht="12.75">
      <c r="P451" s="8"/>
    </row>
    <row r="452" ht="12.75">
      <c r="P452" s="8"/>
    </row>
    <row r="453" ht="12.75">
      <c r="P453" s="8"/>
    </row>
    <row r="454" ht="12.75">
      <c r="P454" s="8"/>
    </row>
    <row r="455" ht="12.75">
      <c r="P455" s="8"/>
    </row>
    <row r="456" ht="12.75">
      <c r="P456" s="8"/>
    </row>
    <row r="457" ht="12.75">
      <c r="P457" s="8"/>
    </row>
    <row r="458" ht="12.75">
      <c r="P458" s="8"/>
    </row>
    <row r="459" ht="12.75">
      <c r="P459" s="8"/>
    </row>
    <row r="460" ht="12.75">
      <c r="P460" s="8"/>
    </row>
    <row r="461" ht="12.75">
      <c r="P461" s="8"/>
    </row>
    <row r="462" ht="12.75">
      <c r="P462" s="8"/>
    </row>
    <row r="463" ht="12.75">
      <c r="P463" s="8"/>
    </row>
    <row r="464" ht="12.75">
      <c r="P464" s="8"/>
    </row>
    <row r="465" ht="12.75">
      <c r="P465" s="8"/>
    </row>
    <row r="466" ht="12.75">
      <c r="P466" s="8"/>
    </row>
    <row r="467" ht="12.75">
      <c r="P467" s="8"/>
    </row>
    <row r="468" ht="12.75">
      <c r="P468" s="8"/>
    </row>
    <row r="469" ht="12.75">
      <c r="P469" s="8"/>
    </row>
    <row r="470" ht="12.75">
      <c r="P470" s="8"/>
    </row>
    <row r="471" ht="12.75">
      <c r="P471" s="8"/>
    </row>
    <row r="472" ht="12.75">
      <c r="P472" s="8"/>
    </row>
    <row r="473" ht="12.75">
      <c r="P473" s="8"/>
    </row>
    <row r="474" ht="12.75">
      <c r="P474" s="8"/>
    </row>
    <row r="475" ht="12.75">
      <c r="P475" s="8"/>
    </row>
    <row r="476" ht="12.75">
      <c r="P476" s="8"/>
    </row>
    <row r="477" ht="12.75">
      <c r="P477" s="8"/>
    </row>
    <row r="478" ht="12.75">
      <c r="P478" s="8"/>
    </row>
    <row r="479" ht="12.75">
      <c r="P479" s="8"/>
    </row>
    <row r="480" ht="12.75">
      <c r="P480" s="8"/>
    </row>
    <row r="481" ht="12.75">
      <c r="P481" s="8"/>
    </row>
    <row r="482" ht="12.75">
      <c r="P482" s="8"/>
    </row>
    <row r="483" ht="12.75">
      <c r="P483" s="8"/>
    </row>
    <row r="484" ht="12.75">
      <c r="P484" s="8"/>
    </row>
    <row r="485" ht="12.75">
      <c r="P485" s="8"/>
    </row>
    <row r="486" ht="12.75">
      <c r="P486" s="8"/>
    </row>
    <row r="487" ht="12.75">
      <c r="P487" s="8"/>
    </row>
    <row r="488" ht="12.75">
      <c r="P488" s="8"/>
    </row>
    <row r="489" ht="12.75">
      <c r="P489" s="8"/>
    </row>
    <row r="490" ht="12.75">
      <c r="P490" s="8"/>
    </row>
    <row r="491" ht="12.75">
      <c r="P491" s="8"/>
    </row>
    <row r="492" ht="12.75">
      <c r="P492" s="8"/>
    </row>
    <row r="493" ht="12.75">
      <c r="P493" s="8"/>
    </row>
    <row r="494" ht="12.75">
      <c r="P494" s="8"/>
    </row>
    <row r="495" ht="12.75">
      <c r="P495" s="8"/>
    </row>
    <row r="496" ht="12.75">
      <c r="P496" s="8"/>
    </row>
    <row r="497" ht="12.75">
      <c r="P497" s="8"/>
    </row>
    <row r="498" ht="12.75">
      <c r="P498" s="8"/>
    </row>
    <row r="499" ht="12.75">
      <c r="P499" s="8"/>
    </row>
    <row r="500" ht="12.75">
      <c r="P500" s="8"/>
    </row>
    <row r="501" ht="12.75">
      <c r="P501" s="8"/>
    </row>
    <row r="502" ht="12.75">
      <c r="P502" s="8"/>
    </row>
    <row r="503" ht="12.75">
      <c r="P503" s="8"/>
    </row>
    <row r="504" ht="12.75">
      <c r="P504" s="8"/>
    </row>
    <row r="505" ht="12.75">
      <c r="P505" s="8"/>
    </row>
    <row r="506" ht="12.75">
      <c r="P506" s="8"/>
    </row>
    <row r="507" ht="12.75">
      <c r="P507" s="8"/>
    </row>
    <row r="508" ht="12.75">
      <c r="P508" s="8"/>
    </row>
    <row r="509" ht="12.75">
      <c r="P509" s="8"/>
    </row>
    <row r="510" ht="12.75">
      <c r="P510" s="8"/>
    </row>
    <row r="511" ht="12.75">
      <c r="P511" s="8"/>
    </row>
    <row r="512" ht="12.75">
      <c r="P512" s="8"/>
    </row>
    <row r="513" ht="12.75">
      <c r="P513" s="8"/>
    </row>
    <row r="514" ht="12.75">
      <c r="P514" s="8"/>
    </row>
    <row r="515" ht="12.75">
      <c r="P515" s="8"/>
    </row>
    <row r="516" ht="12.75">
      <c r="P516" s="8"/>
    </row>
    <row r="517" ht="12.75">
      <c r="P517" s="8"/>
    </row>
    <row r="518" ht="12.75">
      <c r="P518" s="8"/>
    </row>
    <row r="519" ht="12.75">
      <c r="P519" s="8"/>
    </row>
    <row r="520" ht="12.75">
      <c r="P520" s="8"/>
    </row>
    <row r="521" ht="12.75">
      <c r="P521" s="8"/>
    </row>
    <row r="522" ht="12.75">
      <c r="P522" s="8"/>
    </row>
    <row r="523" ht="12.75">
      <c r="P523" s="8"/>
    </row>
    <row r="524" ht="12.75">
      <c r="P524" s="8"/>
    </row>
    <row r="525" ht="12.75">
      <c r="P525" s="8"/>
    </row>
    <row r="526" ht="12.75">
      <c r="P526" s="8"/>
    </row>
    <row r="527" ht="12.75">
      <c r="P527" s="8"/>
    </row>
    <row r="528" ht="12.75">
      <c r="P528" s="8"/>
    </row>
    <row r="529" ht="12.75">
      <c r="P529" s="8"/>
    </row>
    <row r="530" ht="12.75">
      <c r="P530" s="8"/>
    </row>
    <row r="531" ht="12.75">
      <c r="P531" s="8"/>
    </row>
    <row r="532" ht="12.75">
      <c r="P532" s="8"/>
    </row>
    <row r="533" ht="12.75">
      <c r="P533" s="8"/>
    </row>
    <row r="534" ht="12.75">
      <c r="P534" s="8"/>
    </row>
    <row r="535" ht="12.75">
      <c r="P535" s="8"/>
    </row>
    <row r="536" ht="12.75">
      <c r="P536" s="8"/>
    </row>
    <row r="537" ht="12.75">
      <c r="P537" s="8"/>
    </row>
    <row r="538" ht="12.75">
      <c r="P538" s="8"/>
    </row>
    <row r="539" ht="12.75">
      <c r="P539" s="8"/>
    </row>
    <row r="540" ht="12.75">
      <c r="P540" s="8"/>
    </row>
    <row r="541" ht="12.75">
      <c r="P541" s="8"/>
    </row>
    <row r="542" ht="12.75">
      <c r="P542" s="8"/>
    </row>
    <row r="543" ht="12.75">
      <c r="P543" s="8"/>
    </row>
    <row r="544" ht="12.75">
      <c r="P544" s="8"/>
    </row>
    <row r="545" ht="12.75">
      <c r="P545" s="8"/>
    </row>
    <row r="546" ht="12.75">
      <c r="P546" s="8"/>
    </row>
    <row r="547" ht="12.75">
      <c r="P547" s="8"/>
    </row>
    <row r="548" ht="12.75">
      <c r="P548" s="8"/>
    </row>
    <row r="549" ht="12.75">
      <c r="P549" s="8"/>
    </row>
    <row r="550" ht="12.75">
      <c r="P550" s="8"/>
    </row>
    <row r="551" ht="12.75">
      <c r="P551" s="8"/>
    </row>
    <row r="552" ht="12.75">
      <c r="P552" s="8"/>
    </row>
    <row r="553" ht="12.75">
      <c r="P553" s="8"/>
    </row>
    <row r="554" ht="12.75">
      <c r="P554" s="8"/>
    </row>
    <row r="555" ht="12.75">
      <c r="P555" s="8"/>
    </row>
    <row r="556" ht="12.75">
      <c r="P556" s="8"/>
    </row>
    <row r="557" ht="12.75">
      <c r="P557" s="8"/>
    </row>
    <row r="558" ht="12.75">
      <c r="P558" s="8"/>
    </row>
    <row r="559" ht="12.75">
      <c r="P559" s="8"/>
    </row>
    <row r="560" ht="12.75">
      <c r="P560" s="8"/>
    </row>
    <row r="561" ht="12.75">
      <c r="P561" s="8"/>
    </row>
    <row r="562" ht="12.75">
      <c r="P562" s="8"/>
    </row>
    <row r="563" ht="12.75">
      <c r="P563" s="8"/>
    </row>
    <row r="564" ht="12.75">
      <c r="P564" s="8"/>
    </row>
    <row r="565" ht="12.75">
      <c r="P565" s="8"/>
    </row>
    <row r="566" ht="12.75">
      <c r="P566" s="8"/>
    </row>
    <row r="567" ht="12.75">
      <c r="P567" s="8"/>
    </row>
    <row r="568" ht="12.75">
      <c r="P568" s="8"/>
    </row>
    <row r="569" ht="12.75">
      <c r="P569" s="8"/>
    </row>
    <row r="570" ht="12.75">
      <c r="P570" s="8"/>
    </row>
    <row r="571" ht="12.75">
      <c r="P571" s="8"/>
    </row>
    <row r="572" ht="12.75">
      <c r="P572" s="8"/>
    </row>
    <row r="573" ht="12.75">
      <c r="P573" s="8"/>
    </row>
    <row r="574" ht="12.75">
      <c r="P574" s="8"/>
    </row>
    <row r="575" ht="12.75">
      <c r="P575" s="8"/>
    </row>
    <row r="576" ht="12.75">
      <c r="P576" s="8"/>
    </row>
    <row r="577" ht="12.75">
      <c r="P577" s="8"/>
    </row>
    <row r="578" ht="12.75">
      <c r="P578" s="8"/>
    </row>
    <row r="579" ht="12.75">
      <c r="P579" s="8"/>
    </row>
    <row r="580" ht="12.75">
      <c r="P580" s="8"/>
    </row>
    <row r="581" ht="12.75">
      <c r="P581" s="8"/>
    </row>
    <row r="582" ht="12.75">
      <c r="P582" s="8"/>
    </row>
    <row r="583" ht="12.75">
      <c r="P583" s="8"/>
    </row>
    <row r="584" ht="12.75">
      <c r="P584" s="8"/>
    </row>
    <row r="585" ht="12.75">
      <c r="P585" s="8"/>
    </row>
    <row r="586" ht="12.75">
      <c r="P586" s="8"/>
    </row>
    <row r="587" ht="12.75">
      <c r="P587" s="8"/>
    </row>
    <row r="588" ht="12.75">
      <c r="P588" s="8"/>
    </row>
    <row r="589" ht="12.75">
      <c r="P589" s="8"/>
    </row>
    <row r="590" ht="12.75">
      <c r="P590" s="8"/>
    </row>
    <row r="591" ht="12.75">
      <c r="P591" s="8"/>
    </row>
    <row r="592" ht="12.75">
      <c r="P592" s="8"/>
    </row>
    <row r="593" ht="12.75">
      <c r="P593" s="8"/>
    </row>
    <row r="594" ht="12.75">
      <c r="P594" s="8"/>
    </row>
    <row r="595" ht="12.75">
      <c r="P595" s="8"/>
    </row>
    <row r="596" ht="12.75">
      <c r="P596" s="8"/>
    </row>
    <row r="597" ht="12.75">
      <c r="P597" s="8"/>
    </row>
    <row r="598" ht="12.75">
      <c r="P598" s="8"/>
    </row>
    <row r="599" ht="12.75">
      <c r="P599" s="8"/>
    </row>
    <row r="600" ht="12.75">
      <c r="P600" s="8"/>
    </row>
    <row r="601" ht="12.75">
      <c r="P601" s="8"/>
    </row>
    <row r="602" ht="12.75">
      <c r="P602" s="8"/>
    </row>
    <row r="603" ht="12.75">
      <c r="P603" s="8"/>
    </row>
    <row r="604" ht="12.75">
      <c r="P604" s="8"/>
    </row>
    <row r="605" ht="12.75">
      <c r="P605" s="8"/>
    </row>
    <row r="606" ht="12.75">
      <c r="P606" s="8"/>
    </row>
    <row r="607" ht="12.75">
      <c r="P607" s="8"/>
    </row>
    <row r="608" ht="12.75">
      <c r="P608" s="8"/>
    </row>
    <row r="609" ht="12.75">
      <c r="P609" s="8"/>
    </row>
    <row r="610" ht="12.75">
      <c r="P610" s="8"/>
    </row>
    <row r="611" ht="12.75">
      <c r="P611" s="8"/>
    </row>
    <row r="612" ht="12.75">
      <c r="P612" s="8"/>
    </row>
    <row r="613" ht="12.75">
      <c r="P613" s="8"/>
    </row>
    <row r="614" ht="12.75">
      <c r="P614" s="8"/>
    </row>
    <row r="615" ht="12.75">
      <c r="P615" s="8"/>
    </row>
    <row r="616" ht="12.75">
      <c r="P616" s="8"/>
    </row>
    <row r="617" ht="12.75">
      <c r="P617" s="8"/>
    </row>
    <row r="618" ht="12.75">
      <c r="P618" s="8"/>
    </row>
    <row r="619" ht="12.75">
      <c r="P619" s="8"/>
    </row>
    <row r="620" ht="12.75">
      <c r="P620" s="8"/>
    </row>
    <row r="621" ht="12.75">
      <c r="P621" s="8"/>
    </row>
    <row r="622" ht="12.75">
      <c r="P622" s="8"/>
    </row>
    <row r="623" ht="12.75">
      <c r="P623" s="8"/>
    </row>
    <row r="624" ht="12.75">
      <c r="P624" s="8"/>
    </row>
    <row r="625" ht="12.75">
      <c r="P625" s="8"/>
    </row>
    <row r="626" ht="12.75">
      <c r="P626" s="8"/>
    </row>
    <row r="627" ht="12.75">
      <c r="P627" s="8"/>
    </row>
    <row r="628" ht="12.75">
      <c r="P628" s="8"/>
    </row>
    <row r="629" ht="12.75">
      <c r="P629" s="8"/>
    </row>
    <row r="630" ht="12.75">
      <c r="P630" s="8"/>
    </row>
    <row r="631" ht="12.75">
      <c r="P631" s="8"/>
    </row>
    <row r="632" ht="12.75">
      <c r="P632" s="8"/>
    </row>
    <row r="633" ht="12.75">
      <c r="P633" s="8"/>
    </row>
    <row r="634" ht="12.75">
      <c r="P634" s="8"/>
    </row>
    <row r="635" ht="12.75">
      <c r="P635" s="8"/>
    </row>
    <row r="636" ht="12.75">
      <c r="P636" s="8"/>
    </row>
    <row r="637" ht="12.75">
      <c r="P637" s="8"/>
    </row>
    <row r="638" ht="12.75">
      <c r="P638" s="8"/>
    </row>
    <row r="639" ht="12.75">
      <c r="P639" s="8"/>
    </row>
    <row r="640" ht="12.75">
      <c r="P640" s="8"/>
    </row>
    <row r="641" ht="12.75">
      <c r="P641" s="8"/>
    </row>
    <row r="642" ht="12.75">
      <c r="P642" s="8"/>
    </row>
    <row r="643" ht="12.75">
      <c r="P643" s="8"/>
    </row>
    <row r="644" ht="12.75">
      <c r="P644" s="8"/>
    </row>
    <row r="645" ht="12.75">
      <c r="P645" s="8"/>
    </row>
    <row r="646" ht="12.75">
      <c r="P646" s="8"/>
    </row>
    <row r="647" ht="12.75">
      <c r="P647" s="8"/>
    </row>
    <row r="648" ht="12.75">
      <c r="P648" s="8"/>
    </row>
    <row r="649" ht="12.75">
      <c r="P649" s="8"/>
    </row>
    <row r="650" ht="12.75">
      <c r="P650" s="8"/>
    </row>
    <row r="651" ht="12.75">
      <c r="P651" s="8"/>
    </row>
    <row r="652" ht="12.75">
      <c r="P652" s="8"/>
    </row>
    <row r="653" ht="12.75">
      <c r="P653" s="8"/>
    </row>
    <row r="654" ht="12.75">
      <c r="P654" s="8"/>
    </row>
    <row r="655" ht="12.75">
      <c r="P655" s="8"/>
    </row>
    <row r="656" ht="12.75">
      <c r="P656" s="8"/>
    </row>
    <row r="657" ht="12.75">
      <c r="P657" s="8"/>
    </row>
    <row r="658" ht="12.75">
      <c r="P658" s="8"/>
    </row>
    <row r="659" ht="12.75">
      <c r="P659" s="8"/>
    </row>
    <row r="660" ht="12.75">
      <c r="P660" s="8"/>
    </row>
    <row r="661" ht="12.75">
      <c r="P661" s="8"/>
    </row>
    <row r="662" ht="12.75">
      <c r="P662" s="8"/>
    </row>
    <row r="663" ht="12.75">
      <c r="P663" s="8"/>
    </row>
    <row r="664" ht="12.75">
      <c r="P664" s="8"/>
    </row>
    <row r="665" ht="12.75">
      <c r="P665" s="8"/>
    </row>
    <row r="666" ht="12.75">
      <c r="P666" s="8"/>
    </row>
    <row r="667" ht="12.75">
      <c r="P667" s="8"/>
    </row>
    <row r="668" ht="12.75">
      <c r="P668" s="8"/>
    </row>
    <row r="669" ht="12.75">
      <c r="P669" s="8"/>
    </row>
    <row r="670" ht="12.75">
      <c r="P670" s="8"/>
    </row>
    <row r="671" ht="12.75">
      <c r="P671" s="8"/>
    </row>
    <row r="672" ht="12.75">
      <c r="P672" s="8"/>
    </row>
    <row r="673" ht="12.75">
      <c r="P673" s="8"/>
    </row>
    <row r="674" ht="12.75">
      <c r="P674" s="8"/>
    </row>
    <row r="675" ht="12.75">
      <c r="P675" s="8"/>
    </row>
    <row r="676" ht="12.75">
      <c r="P676" s="8"/>
    </row>
    <row r="677" ht="12.75">
      <c r="P677" s="8"/>
    </row>
    <row r="678" ht="12.75">
      <c r="P678" s="8"/>
    </row>
    <row r="679" ht="12.75">
      <c r="P679" s="8"/>
    </row>
    <row r="680" ht="12.75">
      <c r="P680" s="8"/>
    </row>
    <row r="681" ht="12.75">
      <c r="P681" s="8"/>
    </row>
    <row r="682" ht="12.75">
      <c r="P682" s="8"/>
    </row>
    <row r="683" ht="12.75">
      <c r="P683" s="8"/>
    </row>
    <row r="684" ht="12.75">
      <c r="P684" s="8"/>
    </row>
    <row r="685" ht="12.75">
      <c r="P685" s="8"/>
    </row>
    <row r="686" ht="12.75">
      <c r="P686" s="8"/>
    </row>
    <row r="687" ht="12.75">
      <c r="P687" s="8"/>
    </row>
    <row r="688" ht="12.75">
      <c r="P688" s="8"/>
    </row>
    <row r="689" ht="12.75">
      <c r="P689" s="8"/>
    </row>
    <row r="690" ht="12.75">
      <c r="P690" s="8"/>
    </row>
    <row r="691" ht="12.75">
      <c r="P691" s="8"/>
    </row>
    <row r="692" ht="12.75">
      <c r="P692" s="8"/>
    </row>
    <row r="693" ht="12.75">
      <c r="P693" s="8"/>
    </row>
    <row r="694" ht="12.75">
      <c r="P694" s="8"/>
    </row>
    <row r="695" ht="12.75">
      <c r="P695" s="8"/>
    </row>
    <row r="696" ht="12.75">
      <c r="P696" s="8"/>
    </row>
    <row r="697" ht="12.75">
      <c r="P697" s="8"/>
    </row>
    <row r="698" ht="12.75">
      <c r="P698" s="8"/>
    </row>
    <row r="699" ht="12.75">
      <c r="P699" s="8"/>
    </row>
    <row r="700" ht="12.75">
      <c r="P700" s="8"/>
    </row>
    <row r="701" ht="12.75">
      <c r="P701" s="8"/>
    </row>
    <row r="702" ht="12.75">
      <c r="P702" s="8"/>
    </row>
    <row r="703" ht="12.75">
      <c r="P703" s="8"/>
    </row>
    <row r="704" ht="12.75">
      <c r="P704" s="8"/>
    </row>
    <row r="705" ht="12.75">
      <c r="P705" s="8"/>
    </row>
    <row r="706" ht="12.75">
      <c r="P706" s="8"/>
    </row>
    <row r="707" ht="12.75">
      <c r="P707" s="8"/>
    </row>
    <row r="708" ht="12.75">
      <c r="P708" s="8"/>
    </row>
    <row r="709" ht="12.75">
      <c r="P709" s="8"/>
    </row>
    <row r="710" ht="12.75">
      <c r="P710" s="8"/>
    </row>
    <row r="711" ht="12.75">
      <c r="P711" s="8"/>
    </row>
    <row r="712" ht="12.75">
      <c r="P712" s="8"/>
    </row>
    <row r="713" ht="12.75">
      <c r="P713" s="8"/>
    </row>
    <row r="714" ht="12.75">
      <c r="P714" s="8"/>
    </row>
    <row r="715" ht="12.75">
      <c r="P715" s="8"/>
    </row>
    <row r="716" ht="12.75">
      <c r="P716" s="8"/>
    </row>
    <row r="717" ht="12.75">
      <c r="P717" s="8"/>
    </row>
    <row r="718" ht="12.75">
      <c r="P718" s="8"/>
    </row>
    <row r="719" ht="12.75">
      <c r="P719" s="8"/>
    </row>
    <row r="720" ht="12.75">
      <c r="P720" s="8"/>
    </row>
    <row r="721" ht="12.75">
      <c r="P721" s="8"/>
    </row>
    <row r="722" ht="12.75">
      <c r="P722" s="8"/>
    </row>
    <row r="723" ht="12.75">
      <c r="P723" s="8"/>
    </row>
    <row r="724" ht="12.75">
      <c r="P724" s="8"/>
    </row>
    <row r="725" ht="12.75">
      <c r="P725" s="8"/>
    </row>
    <row r="726" ht="12.75">
      <c r="P726" s="8"/>
    </row>
    <row r="727" ht="12.75">
      <c r="P727" s="8"/>
    </row>
    <row r="728" ht="12.75">
      <c r="P728" s="8"/>
    </row>
    <row r="729" ht="12.75">
      <c r="P729" s="8"/>
    </row>
    <row r="730" ht="12.75">
      <c r="P730" s="8"/>
    </row>
    <row r="731" ht="12.75">
      <c r="P731" s="8"/>
    </row>
    <row r="732" ht="12.75">
      <c r="P732" s="8"/>
    </row>
    <row r="733" ht="12.75">
      <c r="P733" s="8"/>
    </row>
    <row r="734" ht="12.75">
      <c r="P734" s="8"/>
    </row>
    <row r="735" ht="12.75">
      <c r="P735" s="8"/>
    </row>
    <row r="736" ht="12.75">
      <c r="P736" s="8"/>
    </row>
    <row r="737" ht="12.75">
      <c r="P737" s="8"/>
    </row>
    <row r="738" ht="12.75">
      <c r="P738" s="8"/>
    </row>
    <row r="739" ht="12.75">
      <c r="P739" s="8"/>
    </row>
    <row r="740" ht="12.75">
      <c r="P740" s="8"/>
    </row>
    <row r="741" ht="12.75">
      <c r="P741" s="8"/>
    </row>
    <row r="742" ht="12.75">
      <c r="P742" s="8"/>
    </row>
    <row r="743" ht="12.75">
      <c r="P743" s="8"/>
    </row>
    <row r="744" ht="12.75">
      <c r="P744" s="8"/>
    </row>
    <row r="745" ht="12.75">
      <c r="P745" s="8"/>
    </row>
    <row r="746" ht="12.75">
      <c r="P746" s="8"/>
    </row>
    <row r="747" ht="12.75">
      <c r="P747" s="8"/>
    </row>
    <row r="748" ht="12.75">
      <c r="P748" s="8"/>
    </row>
    <row r="749" ht="12.75">
      <c r="P749" s="8"/>
    </row>
    <row r="750" ht="12.75">
      <c r="P750" s="8"/>
    </row>
    <row r="751" ht="12.75">
      <c r="P751" s="8"/>
    </row>
    <row r="752" ht="12.75">
      <c r="P752" s="8"/>
    </row>
    <row r="753" ht="12.75">
      <c r="P753" s="8"/>
    </row>
    <row r="754" ht="12.75">
      <c r="P754" s="8"/>
    </row>
    <row r="755" ht="12.75">
      <c r="P755" s="8"/>
    </row>
    <row r="756" ht="12.75">
      <c r="P756" s="8"/>
    </row>
    <row r="757" ht="12.75">
      <c r="P757" s="8"/>
    </row>
    <row r="758" ht="12.75">
      <c r="P758" s="8"/>
    </row>
    <row r="759" ht="12.75">
      <c r="P759" s="8"/>
    </row>
    <row r="760" ht="12.75">
      <c r="P760" s="8"/>
    </row>
    <row r="761" ht="12.75">
      <c r="P761" s="8"/>
    </row>
    <row r="762" ht="12.75">
      <c r="P762" s="8"/>
    </row>
    <row r="763" ht="12.75">
      <c r="P763" s="8"/>
    </row>
    <row r="764" ht="12.75">
      <c r="P764" s="8"/>
    </row>
    <row r="765" ht="12.75">
      <c r="P765" s="8"/>
    </row>
    <row r="766" ht="12.75">
      <c r="P766" s="8"/>
    </row>
    <row r="767" ht="12.75">
      <c r="P767" s="8"/>
    </row>
    <row r="768" ht="12.75">
      <c r="P768" s="8"/>
    </row>
    <row r="769" ht="12.75">
      <c r="P769" s="8"/>
    </row>
    <row r="770" ht="12.75">
      <c r="P770" s="8"/>
    </row>
    <row r="771" ht="12.75">
      <c r="P771" s="8"/>
    </row>
    <row r="772" ht="12.75">
      <c r="P772" s="8"/>
    </row>
    <row r="773" ht="12.75">
      <c r="P773" s="8"/>
    </row>
    <row r="774" ht="12.75">
      <c r="P774" s="8"/>
    </row>
    <row r="775" ht="12.75">
      <c r="P775" s="8"/>
    </row>
    <row r="776" ht="12.75">
      <c r="P776" s="8"/>
    </row>
    <row r="777" ht="12.75">
      <c r="P777" s="8"/>
    </row>
    <row r="778" ht="12.75">
      <c r="P778" s="8"/>
    </row>
    <row r="779" ht="12.75">
      <c r="P779" s="8"/>
    </row>
    <row r="780" ht="12.75">
      <c r="P780" s="8"/>
    </row>
    <row r="781" ht="12.75">
      <c r="P781" s="8"/>
    </row>
    <row r="782" ht="12.75">
      <c r="P782" s="8"/>
    </row>
    <row r="783" ht="12.75">
      <c r="P783" s="8"/>
    </row>
    <row r="784" ht="12.75">
      <c r="P784" s="8"/>
    </row>
    <row r="785" ht="12.75">
      <c r="P785" s="8"/>
    </row>
    <row r="786" ht="12.75">
      <c r="P786" s="8"/>
    </row>
    <row r="787" ht="12.75">
      <c r="P787" s="8"/>
    </row>
    <row r="788" ht="12.75">
      <c r="P788" s="8"/>
    </row>
    <row r="789" ht="12.75">
      <c r="P789" s="8"/>
    </row>
    <row r="790" ht="12.75">
      <c r="P790" s="8"/>
    </row>
    <row r="791" ht="12.75">
      <c r="P791" s="8"/>
    </row>
    <row r="792" ht="12.75">
      <c r="P792" s="8"/>
    </row>
    <row r="793" ht="12.75">
      <c r="P793" s="8"/>
    </row>
    <row r="794" ht="12.75">
      <c r="P794" s="8"/>
    </row>
    <row r="795" ht="12.75">
      <c r="P795" s="8"/>
    </row>
    <row r="796" ht="12.75">
      <c r="P796" s="8"/>
    </row>
    <row r="797" ht="12.75">
      <c r="P797" s="8"/>
    </row>
    <row r="798" ht="12.75">
      <c r="P798" s="8"/>
    </row>
    <row r="799" ht="12.75">
      <c r="P799" s="8"/>
    </row>
    <row r="800" ht="12.75">
      <c r="P800" s="8"/>
    </row>
    <row r="801" ht="12.75">
      <c r="P801" s="8"/>
    </row>
    <row r="802" ht="12.75">
      <c r="P802" s="8"/>
    </row>
    <row r="803" ht="12.75">
      <c r="P803" s="8"/>
    </row>
    <row r="804" ht="12.75">
      <c r="P804" s="8"/>
    </row>
    <row r="805" ht="12.75">
      <c r="P805" s="8"/>
    </row>
    <row r="806" ht="12.75">
      <c r="P806" s="8"/>
    </row>
    <row r="807" ht="12.75">
      <c r="P807" s="8"/>
    </row>
    <row r="808" ht="12.75">
      <c r="P808" s="8"/>
    </row>
    <row r="809" ht="12.75">
      <c r="P809" s="8"/>
    </row>
    <row r="810" ht="12.75">
      <c r="P810" s="8"/>
    </row>
    <row r="811" ht="12.75">
      <c r="P811" s="8"/>
    </row>
    <row r="812" ht="12.75">
      <c r="P812" s="8"/>
    </row>
    <row r="813" ht="12.75">
      <c r="P813" s="8"/>
    </row>
    <row r="814" ht="12.75">
      <c r="P814" s="8"/>
    </row>
    <row r="815" ht="12.75">
      <c r="P815" s="8"/>
    </row>
    <row r="816" ht="12.75">
      <c r="P816" s="8"/>
    </row>
    <row r="817" ht="12.75">
      <c r="P817" s="8"/>
    </row>
    <row r="818" ht="12.75">
      <c r="P818" s="8"/>
    </row>
    <row r="819" ht="12.75">
      <c r="P819" s="8"/>
    </row>
    <row r="820" ht="12.75">
      <c r="P820" s="8"/>
    </row>
    <row r="821" ht="12.75">
      <c r="P821" s="8"/>
    </row>
    <row r="822" ht="12.75">
      <c r="P822" s="8"/>
    </row>
    <row r="823" ht="12.75">
      <c r="P823" s="8"/>
    </row>
    <row r="824" ht="12.75">
      <c r="P824" s="8"/>
    </row>
    <row r="825" ht="12.75">
      <c r="P825" s="8"/>
    </row>
    <row r="826" ht="12.75">
      <c r="P826" s="8"/>
    </row>
    <row r="827" ht="12.75">
      <c r="P827" s="8"/>
    </row>
    <row r="828" ht="12.75">
      <c r="P828" s="8"/>
    </row>
    <row r="829" ht="12.75">
      <c r="P829" s="8"/>
    </row>
    <row r="830" ht="12.75">
      <c r="P830" s="8"/>
    </row>
    <row r="831" ht="12.75">
      <c r="P831" s="8"/>
    </row>
    <row r="832" ht="12.75">
      <c r="P832" s="8"/>
    </row>
    <row r="833" ht="12.75">
      <c r="P833" s="8"/>
    </row>
    <row r="834" ht="12.75">
      <c r="P834" s="8"/>
    </row>
    <row r="835" ht="12.75">
      <c r="P835" s="8"/>
    </row>
    <row r="836" ht="12.75">
      <c r="P836" s="8"/>
    </row>
    <row r="837" ht="12.75">
      <c r="P837" s="8"/>
    </row>
    <row r="838" ht="12.75">
      <c r="P838" s="8"/>
    </row>
    <row r="839" ht="12.75">
      <c r="P839" s="8"/>
    </row>
    <row r="840" ht="12.75">
      <c r="P840" s="8"/>
    </row>
    <row r="841" ht="12.75">
      <c r="P841" s="8"/>
    </row>
    <row r="842" ht="12.75">
      <c r="P842" s="8"/>
    </row>
    <row r="843" ht="12.75">
      <c r="P843" s="8"/>
    </row>
    <row r="844" ht="12.75">
      <c r="P844" s="8"/>
    </row>
    <row r="845" ht="12.75">
      <c r="P845" s="8"/>
    </row>
    <row r="846" ht="12.75">
      <c r="P846" s="8"/>
    </row>
    <row r="847" ht="12.75">
      <c r="P847" s="8"/>
    </row>
    <row r="848" ht="12.75">
      <c r="P848" s="8"/>
    </row>
    <row r="849" ht="12.75">
      <c r="P849" s="8"/>
    </row>
    <row r="850" ht="12.75">
      <c r="P850" s="8"/>
    </row>
    <row r="851" ht="12.75">
      <c r="P851" s="8"/>
    </row>
    <row r="852" ht="12.75">
      <c r="P852" s="8"/>
    </row>
    <row r="853" ht="12.75">
      <c r="P853" s="8"/>
    </row>
    <row r="854" ht="12.75">
      <c r="P854" s="8"/>
    </row>
    <row r="855" ht="12.75">
      <c r="P855" s="8"/>
    </row>
    <row r="856" ht="12.75">
      <c r="P856" s="8"/>
    </row>
    <row r="857" ht="12.75">
      <c r="P857" s="8"/>
    </row>
    <row r="858" ht="12.75">
      <c r="P858" s="8"/>
    </row>
    <row r="859" ht="12.75">
      <c r="P859" s="8"/>
    </row>
    <row r="860" ht="12.75">
      <c r="P860" s="8"/>
    </row>
    <row r="861" ht="12.75">
      <c r="P861" s="8"/>
    </row>
    <row r="862" ht="12.75">
      <c r="P862" s="8"/>
    </row>
    <row r="863" ht="12.75">
      <c r="P863" s="8"/>
    </row>
    <row r="864" ht="12.75">
      <c r="P864" s="8"/>
    </row>
    <row r="865" ht="12.75">
      <c r="P865" s="8"/>
    </row>
    <row r="866" ht="12.75">
      <c r="P866" s="8"/>
    </row>
    <row r="867" ht="12.75">
      <c r="P867" s="8"/>
    </row>
    <row r="868" ht="12.75">
      <c r="P868" s="8"/>
    </row>
    <row r="869" ht="12.75">
      <c r="P869" s="8"/>
    </row>
    <row r="870" ht="12.75">
      <c r="P870" s="8"/>
    </row>
    <row r="871" ht="12.75">
      <c r="P871" s="8"/>
    </row>
    <row r="872" ht="12.75">
      <c r="P872" s="8"/>
    </row>
    <row r="873" ht="12.75">
      <c r="P873" s="8"/>
    </row>
    <row r="874" ht="12.75">
      <c r="P874" s="8"/>
    </row>
    <row r="875" ht="12.75">
      <c r="P875" s="8"/>
    </row>
    <row r="876" ht="12.75">
      <c r="P876" s="8"/>
    </row>
    <row r="877" ht="12.75">
      <c r="P877" s="8"/>
    </row>
    <row r="878" ht="12.75">
      <c r="P878" s="8"/>
    </row>
    <row r="879" ht="12.75">
      <c r="P879" s="8"/>
    </row>
    <row r="880" ht="12.75">
      <c r="P880" s="8"/>
    </row>
    <row r="881" ht="12.75">
      <c r="P881" s="8"/>
    </row>
    <row r="882" ht="12.75">
      <c r="P882" s="8"/>
    </row>
    <row r="883" ht="12.75">
      <c r="P883" s="8"/>
    </row>
    <row r="884" ht="12.75">
      <c r="P884" s="8"/>
    </row>
    <row r="885" ht="12.75">
      <c r="P885" s="8"/>
    </row>
    <row r="886" ht="12.75">
      <c r="P886" s="8"/>
    </row>
    <row r="887" ht="12.75">
      <c r="P887" s="8"/>
    </row>
    <row r="888" ht="12.75">
      <c r="P888" s="8"/>
    </row>
    <row r="889" ht="12.75">
      <c r="P889" s="8"/>
    </row>
    <row r="890" ht="12.75">
      <c r="P890" s="8"/>
    </row>
    <row r="891" ht="12.75">
      <c r="P891" s="8"/>
    </row>
    <row r="892" ht="12.75">
      <c r="P892" s="8"/>
    </row>
    <row r="893" ht="12.75">
      <c r="P893" s="8"/>
    </row>
    <row r="894" ht="12.75">
      <c r="P894" s="8"/>
    </row>
    <row r="895" ht="12.75">
      <c r="P895" s="8"/>
    </row>
    <row r="896" ht="12.75">
      <c r="P896" s="8"/>
    </row>
    <row r="897" ht="12.75">
      <c r="P897" s="8"/>
    </row>
    <row r="898" ht="12.75">
      <c r="P898" s="8"/>
    </row>
    <row r="899" ht="12.75">
      <c r="P899" s="8"/>
    </row>
    <row r="900" ht="12.75">
      <c r="P900" s="8"/>
    </row>
    <row r="901" ht="12.75">
      <c r="P901" s="8"/>
    </row>
    <row r="902" ht="12.75">
      <c r="P902" s="8"/>
    </row>
    <row r="903" ht="12.75">
      <c r="P903" s="8"/>
    </row>
    <row r="904" ht="12.75">
      <c r="P904" s="8"/>
    </row>
    <row r="905" ht="12.75">
      <c r="P905" s="8"/>
    </row>
    <row r="906" ht="12.75">
      <c r="P906" s="8"/>
    </row>
    <row r="907" ht="12.75">
      <c r="P907" s="8"/>
    </row>
    <row r="908" ht="12.75">
      <c r="P908" s="8"/>
    </row>
    <row r="909" ht="12.75">
      <c r="P909" s="8"/>
    </row>
    <row r="910" ht="12.75">
      <c r="P910" s="8"/>
    </row>
    <row r="911" ht="12.75">
      <c r="P911" s="8"/>
    </row>
    <row r="912" ht="12.75">
      <c r="P912" s="8"/>
    </row>
    <row r="913" ht="12.75">
      <c r="P913" s="8"/>
    </row>
    <row r="914" ht="12.75">
      <c r="P914" s="8"/>
    </row>
    <row r="915" ht="12.75">
      <c r="P915" s="8"/>
    </row>
    <row r="916" ht="12.75">
      <c r="P916" s="8"/>
    </row>
    <row r="917" ht="12.75">
      <c r="P917" s="8"/>
    </row>
    <row r="918" ht="12.75">
      <c r="P918" s="8"/>
    </row>
    <row r="919" ht="12.75">
      <c r="P919" s="8"/>
    </row>
    <row r="920" ht="12.75">
      <c r="P920" s="8"/>
    </row>
    <row r="921" ht="12.75">
      <c r="P921" s="8"/>
    </row>
    <row r="922" ht="12.75">
      <c r="P922" s="8"/>
    </row>
    <row r="923" ht="12.75">
      <c r="P923" s="8"/>
    </row>
    <row r="924" ht="12.75">
      <c r="P924" s="8"/>
    </row>
    <row r="925" ht="12.75">
      <c r="P925" s="8"/>
    </row>
    <row r="926" ht="12.75">
      <c r="P926" s="8"/>
    </row>
    <row r="927" ht="12.75">
      <c r="P927" s="8"/>
    </row>
    <row r="928" ht="12.75">
      <c r="P928" s="8"/>
    </row>
    <row r="929" ht="12.75">
      <c r="P929" s="8"/>
    </row>
    <row r="930" ht="12.75">
      <c r="P930" s="8"/>
    </row>
    <row r="931" ht="12.75">
      <c r="P931" s="8"/>
    </row>
    <row r="932" ht="12.75">
      <c r="P932" s="8"/>
    </row>
    <row r="933" ht="12.75">
      <c r="P933" s="8"/>
    </row>
    <row r="934" ht="12.75">
      <c r="P934" s="8"/>
    </row>
    <row r="935" ht="12.75">
      <c r="P935" s="8"/>
    </row>
    <row r="936" ht="12.75">
      <c r="P936" s="8"/>
    </row>
    <row r="937" ht="12.75">
      <c r="P937" s="8"/>
    </row>
    <row r="938" ht="12.75">
      <c r="P938" s="8"/>
    </row>
    <row r="939" ht="12.75">
      <c r="P939" s="8"/>
    </row>
    <row r="940" ht="12.75">
      <c r="P940" s="8"/>
    </row>
    <row r="941" ht="12.75">
      <c r="P941" s="8"/>
    </row>
    <row r="942" ht="12.75">
      <c r="P942" s="8"/>
    </row>
    <row r="943" ht="12.75">
      <c r="P943" s="8"/>
    </row>
    <row r="944" ht="12.75">
      <c r="P944" s="8"/>
    </row>
    <row r="945" ht="12.75">
      <c r="P945" s="8"/>
    </row>
    <row r="946" ht="12.75">
      <c r="P946" s="8"/>
    </row>
    <row r="947" ht="12.75">
      <c r="P947" s="8"/>
    </row>
    <row r="948" ht="12.75">
      <c r="P948" s="8"/>
    </row>
    <row r="949" ht="12.75">
      <c r="P949" s="8"/>
    </row>
    <row r="950" ht="12.75">
      <c r="P950" s="8"/>
    </row>
    <row r="951" ht="12.75">
      <c r="P951" s="8"/>
    </row>
    <row r="952" ht="12.75">
      <c r="P952" s="8"/>
    </row>
    <row r="953" ht="12.75">
      <c r="P953" s="8"/>
    </row>
    <row r="954" ht="12.75">
      <c r="P954" s="8"/>
    </row>
    <row r="955" ht="12.75">
      <c r="P955" s="8"/>
    </row>
    <row r="956" ht="12.75">
      <c r="P956" s="8"/>
    </row>
    <row r="957" ht="12.75">
      <c r="P957" s="8"/>
    </row>
    <row r="958" ht="12.75">
      <c r="P958" s="8"/>
    </row>
    <row r="959" ht="12.75">
      <c r="P959" s="8"/>
    </row>
    <row r="960" ht="12.75">
      <c r="P960" s="8"/>
    </row>
    <row r="961" ht="12.75">
      <c r="P961" s="8"/>
    </row>
    <row r="962" ht="12.75">
      <c r="P962" s="8"/>
    </row>
    <row r="963" ht="12.75">
      <c r="P963" s="8"/>
    </row>
    <row r="964" ht="12.75">
      <c r="P964" s="8"/>
    </row>
    <row r="965" ht="12.75">
      <c r="P965" s="8"/>
    </row>
    <row r="966" ht="12.75">
      <c r="P966" s="8"/>
    </row>
    <row r="967" ht="12.75">
      <c r="P967" s="8"/>
    </row>
    <row r="968" ht="12.75">
      <c r="P968" s="8"/>
    </row>
    <row r="969" ht="12.75">
      <c r="P969" s="8"/>
    </row>
    <row r="970" ht="12.75">
      <c r="P970" s="8"/>
    </row>
    <row r="971" ht="12.75">
      <c r="P971" s="8"/>
    </row>
    <row r="972" ht="12.75">
      <c r="P972" s="8"/>
    </row>
    <row r="973" ht="12.75">
      <c r="P973" s="8"/>
    </row>
    <row r="974" ht="12.75">
      <c r="P974" s="8"/>
    </row>
    <row r="975" ht="12.75">
      <c r="P975" s="8"/>
    </row>
    <row r="976" ht="12.75">
      <c r="P976" s="8"/>
    </row>
    <row r="977" ht="12.75">
      <c r="P977" s="8"/>
    </row>
    <row r="978" ht="12.75">
      <c r="P978" s="8"/>
    </row>
    <row r="979" ht="12.75">
      <c r="P979" s="8"/>
    </row>
    <row r="980" ht="12.75">
      <c r="P980" s="8"/>
    </row>
    <row r="981" ht="12.75">
      <c r="P981" s="8"/>
    </row>
    <row r="982" ht="12.75">
      <c r="P982" s="8"/>
    </row>
    <row r="983" ht="12.75">
      <c r="P983" s="8"/>
    </row>
    <row r="984" ht="12.75">
      <c r="P984" s="8"/>
    </row>
    <row r="985" ht="12.75">
      <c r="P985" s="8"/>
    </row>
    <row r="986" ht="12.75">
      <c r="P986" s="8"/>
    </row>
    <row r="987" ht="12.75">
      <c r="P987" s="8"/>
    </row>
    <row r="988" ht="12.75">
      <c r="P988" s="8"/>
    </row>
    <row r="989" ht="12.75">
      <c r="P989" s="8"/>
    </row>
    <row r="990" ht="12.75">
      <c r="P990" s="8"/>
    </row>
    <row r="991" ht="12.75">
      <c r="P991" s="8"/>
    </row>
    <row r="992" ht="12.75">
      <c r="P992" s="8"/>
    </row>
    <row r="993" ht="12.75">
      <c r="P993" s="8"/>
    </row>
    <row r="994" ht="12.75">
      <c r="P994" s="8"/>
    </row>
    <row r="995" ht="12.75">
      <c r="P995" s="8"/>
    </row>
    <row r="996" ht="12.75">
      <c r="P996" s="8"/>
    </row>
    <row r="997" ht="12.75">
      <c r="P997" s="8"/>
    </row>
    <row r="998" ht="12.75">
      <c r="P998" s="8"/>
    </row>
    <row r="999" ht="12.75">
      <c r="P999" s="8"/>
    </row>
    <row r="1000" ht="12.75">
      <c r="P1000" s="8"/>
    </row>
    <row r="1001" ht="12.75">
      <c r="P1001" s="8"/>
    </row>
    <row r="1002" ht="12.75">
      <c r="P1002" s="8"/>
    </row>
    <row r="1003" ht="12.75">
      <c r="P1003" s="8"/>
    </row>
    <row r="1004" ht="12.75">
      <c r="P1004" s="8"/>
    </row>
    <row r="1005" ht="12.75">
      <c r="P1005" s="8"/>
    </row>
    <row r="1006" ht="12.75">
      <c r="P1006" s="8"/>
    </row>
    <row r="1007" ht="12.75">
      <c r="P1007" s="8"/>
    </row>
    <row r="1008" ht="12.75">
      <c r="P1008" s="8"/>
    </row>
    <row r="1009" ht="12.75">
      <c r="P1009" s="8"/>
    </row>
    <row r="1010" ht="12.75">
      <c r="P1010" s="8"/>
    </row>
    <row r="1011" ht="12.75">
      <c r="P1011" s="8"/>
    </row>
    <row r="1012" ht="12.75">
      <c r="P1012" s="8"/>
    </row>
    <row r="1013" ht="12.75">
      <c r="P1013" s="8"/>
    </row>
    <row r="1014" ht="12.75">
      <c r="P1014" s="8"/>
    </row>
    <row r="1015" ht="12.75">
      <c r="P1015" s="8"/>
    </row>
    <row r="1016" ht="12.75">
      <c r="P1016" s="8"/>
    </row>
    <row r="1017" ht="12.75">
      <c r="P1017" s="8"/>
    </row>
    <row r="1018" ht="12.75">
      <c r="P1018" s="8"/>
    </row>
    <row r="1019" ht="12.75">
      <c r="P1019" s="8"/>
    </row>
    <row r="1020" ht="12.75">
      <c r="P1020" s="8"/>
    </row>
    <row r="1021" ht="12.75">
      <c r="P1021" s="8"/>
    </row>
    <row r="1022" ht="12.75">
      <c r="P1022" s="8"/>
    </row>
    <row r="1023" ht="12.75">
      <c r="P1023" s="8"/>
    </row>
    <row r="1024" ht="12.75">
      <c r="P1024" s="8"/>
    </row>
    <row r="1025" ht="12.75">
      <c r="P1025" s="8"/>
    </row>
    <row r="1026" ht="12.75">
      <c r="P1026" s="8"/>
    </row>
    <row r="1027" ht="12.75">
      <c r="P1027" s="8"/>
    </row>
    <row r="1028" ht="12.75">
      <c r="P1028" s="8"/>
    </row>
    <row r="1029" ht="12.75">
      <c r="P1029" s="8"/>
    </row>
    <row r="1030" ht="12.75">
      <c r="P1030" s="8"/>
    </row>
    <row r="1031" ht="12.75">
      <c r="P1031" s="8"/>
    </row>
    <row r="1032" ht="12.75">
      <c r="P1032" s="8"/>
    </row>
    <row r="1033" ht="12.75">
      <c r="P1033" s="8"/>
    </row>
    <row r="1034" ht="12.75">
      <c r="P1034" s="8"/>
    </row>
    <row r="1035" ht="12.75">
      <c r="P1035" s="8"/>
    </row>
    <row r="1036" ht="12.75">
      <c r="P1036" s="8"/>
    </row>
    <row r="1037" ht="12.75">
      <c r="P1037" s="8"/>
    </row>
    <row r="1038" ht="12.75">
      <c r="P1038" s="8"/>
    </row>
    <row r="1039" ht="12.75">
      <c r="P1039" s="8"/>
    </row>
    <row r="1040" ht="12.75">
      <c r="P1040" s="8"/>
    </row>
    <row r="1041" ht="12.75">
      <c r="P1041" s="8"/>
    </row>
    <row r="1042" ht="12.75">
      <c r="P1042" s="8"/>
    </row>
    <row r="1043" ht="12.75">
      <c r="P1043" s="8"/>
    </row>
    <row r="1044" ht="12.75">
      <c r="P1044" s="8"/>
    </row>
    <row r="1045" ht="12.75">
      <c r="P1045" s="8"/>
    </row>
    <row r="1046" ht="12.75">
      <c r="P1046" s="8"/>
    </row>
    <row r="1047" ht="12.75">
      <c r="P1047" s="8"/>
    </row>
    <row r="1048" ht="12.75">
      <c r="P1048" s="8"/>
    </row>
    <row r="1049" ht="12.75">
      <c r="P1049" s="8"/>
    </row>
    <row r="1050" ht="12.75">
      <c r="P1050" s="8"/>
    </row>
    <row r="1051" ht="12.75">
      <c r="P1051" s="8"/>
    </row>
    <row r="1052" ht="12.75">
      <c r="P1052" s="8"/>
    </row>
    <row r="1053" ht="12.75">
      <c r="P1053" s="8"/>
    </row>
    <row r="1054" ht="12.75">
      <c r="P1054" s="8"/>
    </row>
    <row r="1055" ht="12.75">
      <c r="P1055" s="8"/>
    </row>
    <row r="1056" ht="12.75">
      <c r="P1056" s="8"/>
    </row>
    <row r="1057" ht="12.75">
      <c r="P1057" s="8"/>
    </row>
    <row r="1058" ht="12.75">
      <c r="P1058" s="8"/>
    </row>
    <row r="1059" ht="12.75">
      <c r="P1059" s="8"/>
    </row>
    <row r="1060" ht="12.75">
      <c r="P1060" s="8"/>
    </row>
    <row r="1061" ht="12.75">
      <c r="P1061" s="8"/>
    </row>
    <row r="1062" ht="12.75">
      <c r="P1062" s="8"/>
    </row>
    <row r="1063" ht="12.75">
      <c r="P1063" s="8"/>
    </row>
    <row r="1064" ht="12.75">
      <c r="P1064" s="8"/>
    </row>
    <row r="1065" ht="12.75">
      <c r="P1065" s="8"/>
    </row>
    <row r="1066" ht="12.75">
      <c r="P1066" s="8"/>
    </row>
    <row r="1067" ht="12.75">
      <c r="P1067" s="8"/>
    </row>
    <row r="1068" ht="12.75">
      <c r="P1068" s="8"/>
    </row>
    <row r="1069" ht="12.75">
      <c r="P1069" s="8"/>
    </row>
    <row r="1070" ht="12.75">
      <c r="P1070" s="8"/>
    </row>
    <row r="1071" ht="12.75">
      <c r="P1071" s="8"/>
    </row>
    <row r="1072" ht="12.75">
      <c r="P1072" s="8"/>
    </row>
    <row r="1073" ht="12.75">
      <c r="P1073" s="8"/>
    </row>
    <row r="1074" ht="12.75">
      <c r="P1074" s="8"/>
    </row>
    <row r="1075" ht="12.75">
      <c r="P1075" s="8"/>
    </row>
    <row r="1076" ht="12.75">
      <c r="P1076" s="8"/>
    </row>
    <row r="1077" ht="12.75">
      <c r="P1077" s="8"/>
    </row>
    <row r="1078" ht="12.75">
      <c r="P1078" s="8"/>
    </row>
    <row r="1079" ht="12.75">
      <c r="P1079" s="8"/>
    </row>
    <row r="1080" ht="12.75">
      <c r="P1080" s="8"/>
    </row>
    <row r="1081" ht="12.75">
      <c r="P1081" s="8"/>
    </row>
    <row r="1082" ht="12.75">
      <c r="P1082" s="8"/>
    </row>
    <row r="1083" ht="12.75">
      <c r="P1083" s="8"/>
    </row>
    <row r="1084" ht="12.75">
      <c r="P1084" s="8"/>
    </row>
    <row r="1085" ht="12.75">
      <c r="P1085" s="8"/>
    </row>
    <row r="1086" ht="12.75">
      <c r="P1086" s="8"/>
    </row>
    <row r="1087" ht="12.75">
      <c r="P1087" s="8"/>
    </row>
    <row r="1088" ht="12.75">
      <c r="P1088" s="8"/>
    </row>
    <row r="1089" ht="12.75">
      <c r="P1089" s="8"/>
    </row>
    <row r="1090" ht="12.75">
      <c r="P1090" s="8"/>
    </row>
    <row r="1091" ht="12.75">
      <c r="P1091" s="8"/>
    </row>
    <row r="1092" ht="12.75">
      <c r="P1092" s="8"/>
    </row>
    <row r="1093" ht="12.75">
      <c r="P1093" s="8"/>
    </row>
    <row r="1094" ht="12.75">
      <c r="P1094" s="8"/>
    </row>
    <row r="1095" ht="12.75">
      <c r="P1095" s="8"/>
    </row>
    <row r="1096" ht="12.75">
      <c r="P1096" s="8"/>
    </row>
    <row r="1097" ht="12.75">
      <c r="P1097" s="8"/>
    </row>
    <row r="1098" ht="12.75">
      <c r="P1098" s="8"/>
    </row>
    <row r="1099" ht="12.75">
      <c r="P1099" s="8"/>
    </row>
    <row r="1100" ht="12.75">
      <c r="P1100" s="8"/>
    </row>
    <row r="1101" ht="12.75">
      <c r="P1101" s="8"/>
    </row>
    <row r="1102" ht="12.75">
      <c r="P1102" s="8"/>
    </row>
    <row r="1103" ht="12.75">
      <c r="P1103" s="8"/>
    </row>
    <row r="1104" ht="12.75">
      <c r="P1104" s="8"/>
    </row>
    <row r="1105" ht="12.75">
      <c r="P1105" s="8"/>
    </row>
    <row r="1106" ht="12.75">
      <c r="P1106" s="8"/>
    </row>
    <row r="1107" ht="12.75">
      <c r="P1107" s="8"/>
    </row>
    <row r="1108" ht="12.75">
      <c r="P1108" s="8"/>
    </row>
    <row r="1109" ht="12.75">
      <c r="P1109" s="8"/>
    </row>
    <row r="1110" ht="12.75">
      <c r="P1110" s="8"/>
    </row>
    <row r="1111" ht="12.75">
      <c r="P1111" s="8"/>
    </row>
    <row r="1112" ht="12.75">
      <c r="P1112" s="8"/>
    </row>
    <row r="1113" ht="12.75">
      <c r="P1113" s="8"/>
    </row>
    <row r="1114" ht="12.75">
      <c r="P1114" s="8"/>
    </row>
    <row r="1115" ht="12.75">
      <c r="P1115" s="8"/>
    </row>
    <row r="1116" ht="12.75">
      <c r="P1116" s="8"/>
    </row>
    <row r="1117" ht="12.75">
      <c r="P1117" s="8"/>
    </row>
    <row r="1118" ht="12.75">
      <c r="P1118" s="8"/>
    </row>
    <row r="1119" ht="12.75">
      <c r="P1119" s="8"/>
    </row>
    <row r="1120" ht="12.75">
      <c r="P1120" s="8"/>
    </row>
    <row r="1121" ht="12.75">
      <c r="P1121" s="8"/>
    </row>
    <row r="1122" ht="12.75">
      <c r="P1122" s="8"/>
    </row>
    <row r="1123" ht="12.75">
      <c r="P1123" s="8"/>
    </row>
    <row r="1124" ht="12.75">
      <c r="P1124" s="8"/>
    </row>
    <row r="1125" ht="12.75">
      <c r="P1125" s="8"/>
    </row>
    <row r="1126" ht="12.75">
      <c r="P1126" s="8"/>
    </row>
    <row r="1127" ht="12.75">
      <c r="P1127" s="8"/>
    </row>
    <row r="1128" ht="12.75">
      <c r="P1128" s="8"/>
    </row>
    <row r="1129" ht="12.75">
      <c r="P1129" s="8"/>
    </row>
    <row r="1130" ht="12.75">
      <c r="P1130" s="8"/>
    </row>
    <row r="1131" ht="12.75">
      <c r="P1131" s="8"/>
    </row>
    <row r="1132" ht="12.75">
      <c r="P1132" s="8"/>
    </row>
    <row r="1133" ht="12.75">
      <c r="P1133" s="8"/>
    </row>
    <row r="1134" ht="12.75">
      <c r="P1134" s="8"/>
    </row>
    <row r="1135" ht="12.75">
      <c r="P1135" s="8"/>
    </row>
    <row r="1136" ht="12.75">
      <c r="P1136" s="8"/>
    </row>
    <row r="1137" ht="12.75">
      <c r="P1137" s="8"/>
    </row>
    <row r="1138" ht="12.75">
      <c r="P1138" s="8"/>
    </row>
    <row r="1139" ht="12.75">
      <c r="P1139" s="8"/>
    </row>
    <row r="1140" ht="12.75">
      <c r="P1140" s="8"/>
    </row>
    <row r="1141" ht="12.75">
      <c r="P1141" s="8"/>
    </row>
    <row r="1142" ht="12.75">
      <c r="P1142" s="8"/>
    </row>
    <row r="1143" ht="12.75">
      <c r="P1143" s="8"/>
    </row>
    <row r="1144" ht="12.75">
      <c r="P1144" s="8"/>
    </row>
    <row r="1145" ht="12.75">
      <c r="P1145" s="8"/>
    </row>
    <row r="1146" ht="12.75">
      <c r="P1146" s="8"/>
    </row>
    <row r="1147" ht="12.75">
      <c r="P1147" s="8"/>
    </row>
    <row r="1148" ht="12.75">
      <c r="P1148" s="8"/>
    </row>
    <row r="1149" ht="12.75">
      <c r="P1149" s="8"/>
    </row>
    <row r="1150" ht="12.75">
      <c r="P1150" s="8"/>
    </row>
    <row r="1151" ht="12.75">
      <c r="P1151" s="8"/>
    </row>
    <row r="1152" ht="12.75">
      <c r="P1152" s="8"/>
    </row>
    <row r="1153" ht="12.75">
      <c r="P1153" s="8"/>
    </row>
    <row r="1154" ht="12.75">
      <c r="P1154" s="8"/>
    </row>
    <row r="1155" ht="12.75">
      <c r="P1155" s="8"/>
    </row>
    <row r="1156" ht="12.75">
      <c r="P1156" s="8"/>
    </row>
    <row r="1157" ht="12.75">
      <c r="P1157" s="8"/>
    </row>
    <row r="1158" ht="12.75">
      <c r="P1158" s="8"/>
    </row>
    <row r="1159" ht="12.75">
      <c r="P1159" s="8"/>
    </row>
    <row r="1160" ht="12.75">
      <c r="P1160" s="8"/>
    </row>
    <row r="1161" ht="12.75">
      <c r="P1161" s="8"/>
    </row>
    <row r="1162" ht="12.75">
      <c r="P1162" s="8"/>
    </row>
    <row r="1163" ht="12.75">
      <c r="P1163" s="8"/>
    </row>
    <row r="1164" ht="12.75">
      <c r="P1164" s="8"/>
    </row>
    <row r="1165" ht="12.75">
      <c r="P1165" s="8"/>
    </row>
    <row r="1166" ht="12.75">
      <c r="P1166" s="8"/>
    </row>
    <row r="1167" ht="12.75">
      <c r="P1167" s="8"/>
    </row>
    <row r="1168" ht="12.75">
      <c r="P1168" s="8"/>
    </row>
    <row r="1169" ht="12.75">
      <c r="P1169" s="8"/>
    </row>
    <row r="1170" ht="12.75">
      <c r="P1170" s="8"/>
    </row>
    <row r="1171" ht="12.75">
      <c r="P1171" s="8"/>
    </row>
    <row r="1172" ht="12.75">
      <c r="P1172" s="8"/>
    </row>
    <row r="1173" ht="12.75">
      <c r="P1173" s="8"/>
    </row>
    <row r="1174" ht="12.75">
      <c r="P1174" s="8"/>
    </row>
    <row r="1175" ht="12.75">
      <c r="P1175" s="8"/>
    </row>
    <row r="1176" ht="12.75">
      <c r="P1176" s="8"/>
    </row>
    <row r="1177" ht="12.75">
      <c r="P1177" s="8"/>
    </row>
    <row r="1178" ht="12.75">
      <c r="P1178" s="8"/>
    </row>
    <row r="1179" ht="12.75">
      <c r="P1179" s="8"/>
    </row>
    <row r="1180" ht="12.75">
      <c r="P1180" s="8"/>
    </row>
    <row r="1181" ht="12.75">
      <c r="P1181" s="8"/>
    </row>
    <row r="1182" ht="12.75">
      <c r="P1182" s="8"/>
    </row>
    <row r="1183" ht="12.75">
      <c r="P1183" s="8"/>
    </row>
    <row r="1184" ht="12.75">
      <c r="P1184" s="8"/>
    </row>
    <row r="1185" ht="12.75">
      <c r="P1185" s="8"/>
    </row>
    <row r="1186" ht="12.75">
      <c r="P1186" s="8"/>
    </row>
    <row r="1187" ht="12.75">
      <c r="P1187" s="8"/>
    </row>
    <row r="1188" ht="12.75">
      <c r="P1188" s="8"/>
    </row>
    <row r="1189" ht="12.75">
      <c r="P1189" s="8"/>
    </row>
    <row r="1190" ht="12.75">
      <c r="P1190" s="8"/>
    </row>
    <row r="1191" ht="12.75">
      <c r="P1191" s="8"/>
    </row>
    <row r="1192" ht="12.75">
      <c r="P1192" s="8"/>
    </row>
    <row r="1193" ht="12.75">
      <c r="P1193" s="8"/>
    </row>
    <row r="1194" ht="12.75">
      <c r="P1194" s="8"/>
    </row>
    <row r="1195" ht="12.75">
      <c r="P1195" s="8"/>
    </row>
    <row r="1196" ht="12.75">
      <c r="P1196" s="8"/>
    </row>
    <row r="1197" ht="12.75">
      <c r="P1197" s="8"/>
    </row>
    <row r="1198" ht="12.75">
      <c r="P1198" s="8"/>
    </row>
    <row r="1199" ht="12.75">
      <c r="P1199" s="8"/>
    </row>
    <row r="1200" ht="12.75">
      <c r="P1200" s="8"/>
    </row>
    <row r="1201" ht="12.75">
      <c r="P1201" s="8"/>
    </row>
    <row r="1202" ht="12.75">
      <c r="P1202" s="8"/>
    </row>
    <row r="1203" ht="12.75">
      <c r="P1203" s="8"/>
    </row>
    <row r="1204" ht="12.75">
      <c r="P1204" s="8"/>
    </row>
    <row r="1205" ht="12.75">
      <c r="P1205" s="8"/>
    </row>
    <row r="1206" ht="12.75">
      <c r="P1206" s="8"/>
    </row>
    <row r="1207" ht="12.75">
      <c r="P1207" s="8"/>
    </row>
    <row r="1208" ht="12.75">
      <c r="P1208" s="8"/>
    </row>
    <row r="1209" ht="12.75">
      <c r="P1209" s="8"/>
    </row>
    <row r="1210" ht="12.75">
      <c r="P1210" s="8"/>
    </row>
    <row r="1211" ht="12.75">
      <c r="P1211" s="8"/>
    </row>
    <row r="1212" ht="12.75">
      <c r="P1212" s="8"/>
    </row>
    <row r="1213" ht="12.75">
      <c r="P1213" s="8"/>
    </row>
    <row r="1214" ht="12.75">
      <c r="P1214" s="8"/>
    </row>
    <row r="1215" ht="12.75">
      <c r="P1215" s="8"/>
    </row>
    <row r="1216" ht="12.75">
      <c r="P1216" s="8"/>
    </row>
    <row r="1217" ht="12.75">
      <c r="P1217" s="8"/>
    </row>
    <row r="1218" ht="12.75">
      <c r="P1218" s="8"/>
    </row>
    <row r="1219" ht="12.75">
      <c r="P1219" s="8"/>
    </row>
    <row r="1220" ht="12.75">
      <c r="P1220" s="8"/>
    </row>
    <row r="1221" ht="12.75">
      <c r="P1221" s="8"/>
    </row>
    <row r="1222" ht="12.75">
      <c r="P1222" s="8"/>
    </row>
    <row r="1223" ht="12.75">
      <c r="P1223" s="8"/>
    </row>
    <row r="1224" ht="12.75">
      <c r="P1224" s="8"/>
    </row>
    <row r="1225" ht="12.75">
      <c r="P1225" s="8"/>
    </row>
    <row r="1226" ht="12.75">
      <c r="P1226" s="8"/>
    </row>
    <row r="1227" ht="12.75">
      <c r="P1227" s="8"/>
    </row>
    <row r="1228" ht="12.75">
      <c r="P1228" s="8"/>
    </row>
    <row r="1229" ht="12.75">
      <c r="P1229" s="8"/>
    </row>
    <row r="1230" ht="12.75">
      <c r="P1230" s="8"/>
    </row>
    <row r="1231" ht="12.75">
      <c r="P1231" s="8"/>
    </row>
    <row r="1232" ht="12.75">
      <c r="P1232" s="8"/>
    </row>
    <row r="1233" ht="12.75">
      <c r="P1233" s="8"/>
    </row>
    <row r="1234" ht="12.75">
      <c r="P1234" s="8"/>
    </row>
    <row r="1235" ht="12.75">
      <c r="P1235" s="8"/>
    </row>
    <row r="1236" ht="12.75">
      <c r="P1236" s="8"/>
    </row>
    <row r="1237" ht="12.75">
      <c r="P1237" s="8"/>
    </row>
    <row r="1238" ht="12.75">
      <c r="P1238" s="8"/>
    </row>
    <row r="1239" ht="12.75">
      <c r="P1239" s="8"/>
    </row>
    <row r="1240" ht="12.75">
      <c r="P1240" s="8"/>
    </row>
    <row r="1241" ht="12.75">
      <c r="P1241" s="8"/>
    </row>
    <row r="1242" ht="12.75">
      <c r="P1242" s="8"/>
    </row>
    <row r="1243" ht="12.75">
      <c r="P1243" s="8"/>
    </row>
    <row r="1244" ht="12.75">
      <c r="P1244" s="8"/>
    </row>
    <row r="1245" ht="12.75">
      <c r="P1245" s="8"/>
    </row>
    <row r="1246" ht="12.75">
      <c r="P1246" s="8"/>
    </row>
    <row r="1247" ht="12.75">
      <c r="P1247" s="8"/>
    </row>
    <row r="1248" ht="12.75">
      <c r="P1248" s="8"/>
    </row>
    <row r="1249" ht="12.75">
      <c r="P1249" s="8"/>
    </row>
    <row r="1250" ht="12.75">
      <c r="P1250" s="8"/>
    </row>
    <row r="1251" ht="12.75">
      <c r="P1251" s="8"/>
    </row>
    <row r="1252" ht="12.75">
      <c r="P1252" s="8"/>
    </row>
    <row r="1253" ht="12.75">
      <c r="P1253" s="8"/>
    </row>
    <row r="1254" ht="12.75">
      <c r="P1254" s="8"/>
    </row>
    <row r="1255" ht="12.75">
      <c r="P1255" s="8"/>
    </row>
    <row r="1256" ht="12.75">
      <c r="P1256" s="8"/>
    </row>
    <row r="1257" ht="12.75">
      <c r="P1257" s="8"/>
    </row>
    <row r="1258" ht="12.75">
      <c r="P1258" s="8"/>
    </row>
    <row r="1259" ht="12.75">
      <c r="P1259" s="8"/>
    </row>
    <row r="1260" ht="12.75">
      <c r="P1260" s="8"/>
    </row>
    <row r="1261" ht="12.75">
      <c r="P1261" s="8"/>
    </row>
    <row r="1262" ht="12.75">
      <c r="P1262" s="8"/>
    </row>
    <row r="1263" ht="12.75">
      <c r="P1263" s="8"/>
    </row>
    <row r="1264" ht="12.75">
      <c r="P1264" s="8"/>
    </row>
    <row r="1265" ht="12.75">
      <c r="P1265" s="8"/>
    </row>
    <row r="1266" ht="12.75">
      <c r="P1266" s="8"/>
    </row>
    <row r="1267" ht="12.75">
      <c r="P1267" s="8"/>
    </row>
    <row r="1268" ht="12.75">
      <c r="P1268" s="8"/>
    </row>
    <row r="1269" ht="12.75">
      <c r="P1269" s="8"/>
    </row>
    <row r="1270" ht="12.75">
      <c r="P1270" s="8"/>
    </row>
    <row r="1271" ht="12.75">
      <c r="P1271" s="8"/>
    </row>
    <row r="1272" ht="12.75">
      <c r="P1272" s="8"/>
    </row>
    <row r="1273" ht="12.75">
      <c r="P1273" s="8"/>
    </row>
    <row r="1274" ht="12.75">
      <c r="P1274" s="8"/>
    </row>
    <row r="1275" ht="12.75">
      <c r="P1275" s="8"/>
    </row>
    <row r="1276" ht="12.75">
      <c r="P1276" s="8"/>
    </row>
    <row r="1277" ht="12.75">
      <c r="P1277" s="8"/>
    </row>
    <row r="1278" ht="12.75">
      <c r="P1278" s="8"/>
    </row>
    <row r="1279" ht="12.75">
      <c r="P1279" s="8"/>
    </row>
    <row r="1280" ht="12.75">
      <c r="P1280" s="8"/>
    </row>
    <row r="1281" ht="12.75">
      <c r="P1281" s="8"/>
    </row>
    <row r="1282" ht="12.75">
      <c r="P1282" s="8"/>
    </row>
    <row r="1283" ht="12.75">
      <c r="P1283" s="8"/>
    </row>
    <row r="1284" ht="12.75">
      <c r="P1284" s="8"/>
    </row>
    <row r="1285" ht="12.75">
      <c r="P1285" s="8"/>
    </row>
    <row r="1286" ht="12.75">
      <c r="P1286" s="8"/>
    </row>
    <row r="1287" ht="12.75">
      <c r="P1287" s="8"/>
    </row>
    <row r="1288" ht="12.75">
      <c r="P1288" s="8"/>
    </row>
    <row r="1289" ht="12.75">
      <c r="P1289" s="8"/>
    </row>
    <row r="1290" ht="12.75">
      <c r="P1290" s="8"/>
    </row>
    <row r="1291" ht="12.75">
      <c r="P1291" s="8"/>
    </row>
    <row r="1292" ht="12.75">
      <c r="P1292" s="8"/>
    </row>
    <row r="1293" ht="12.75">
      <c r="P1293" s="8"/>
    </row>
    <row r="1294" ht="12.75">
      <c r="P1294" s="8"/>
    </row>
    <row r="1295" ht="12.75">
      <c r="P1295" s="8"/>
    </row>
    <row r="1296" ht="12.75">
      <c r="P1296" s="8"/>
    </row>
    <row r="1297" ht="12.75">
      <c r="P1297" s="8"/>
    </row>
    <row r="1298" ht="12.75">
      <c r="P1298" s="8"/>
    </row>
    <row r="1299" ht="12.75">
      <c r="P1299" s="8"/>
    </row>
    <row r="1300" ht="12.75">
      <c r="P1300" s="8"/>
    </row>
    <row r="1301" ht="12.75">
      <c r="P1301" s="8"/>
    </row>
    <row r="1302" ht="12.75">
      <c r="P1302" s="8"/>
    </row>
    <row r="1303" ht="12.75">
      <c r="P1303" s="8"/>
    </row>
    <row r="1304" ht="12.75">
      <c r="P1304" s="8"/>
    </row>
    <row r="1305" ht="12.75">
      <c r="P1305" s="8"/>
    </row>
    <row r="1306" ht="12.75">
      <c r="P1306" s="8"/>
    </row>
    <row r="1307" ht="12.75">
      <c r="P1307" s="8"/>
    </row>
    <row r="1308" ht="12.75">
      <c r="P1308" s="8"/>
    </row>
    <row r="1309" ht="12.75">
      <c r="P1309" s="8"/>
    </row>
    <row r="1310" ht="12.75">
      <c r="P1310" s="8"/>
    </row>
    <row r="1311" ht="12.75">
      <c r="P1311" s="8"/>
    </row>
    <row r="1312" ht="12.75">
      <c r="P1312" s="8"/>
    </row>
    <row r="1313" ht="12.75">
      <c r="P1313" s="8"/>
    </row>
    <row r="1314" ht="12.75">
      <c r="P1314" s="8"/>
    </row>
    <row r="1315" ht="12.75">
      <c r="P1315" s="8"/>
    </row>
    <row r="1316" ht="12.75">
      <c r="P1316" s="8"/>
    </row>
    <row r="1317" ht="12.75">
      <c r="P1317" s="8"/>
    </row>
    <row r="1318" ht="12.75">
      <c r="P1318" s="8"/>
    </row>
    <row r="1319" ht="12.75">
      <c r="P1319" s="8"/>
    </row>
    <row r="1320" ht="12.75">
      <c r="P1320" s="8"/>
    </row>
    <row r="1321" ht="12.75">
      <c r="P1321" s="8"/>
    </row>
    <row r="1322" ht="12.75">
      <c r="P1322" s="8"/>
    </row>
    <row r="1323" ht="12.75">
      <c r="P1323" s="8"/>
    </row>
    <row r="1324" ht="12.75">
      <c r="P1324" s="8"/>
    </row>
    <row r="1325" ht="12.75">
      <c r="P1325" s="8"/>
    </row>
    <row r="1326" ht="12.75">
      <c r="P1326" s="8"/>
    </row>
    <row r="1327" ht="12.75">
      <c r="P1327" s="8"/>
    </row>
    <row r="1328" ht="12.75">
      <c r="P1328" s="8"/>
    </row>
    <row r="1329" ht="12.75">
      <c r="P1329" s="8"/>
    </row>
    <row r="1330" ht="12.75">
      <c r="P1330" s="8"/>
    </row>
    <row r="1331" ht="12.75">
      <c r="P1331" s="8"/>
    </row>
    <row r="1332" ht="12.75">
      <c r="P1332" s="8"/>
    </row>
    <row r="1333" ht="12.75">
      <c r="P1333" s="8"/>
    </row>
    <row r="1334" ht="12.75">
      <c r="P1334" s="8"/>
    </row>
    <row r="1335" ht="12.75">
      <c r="P1335" s="8"/>
    </row>
    <row r="1336" ht="12.75">
      <c r="P1336" s="8"/>
    </row>
    <row r="1337" ht="12.75">
      <c r="P1337" s="8"/>
    </row>
    <row r="1338" ht="12.75">
      <c r="P1338" s="8"/>
    </row>
    <row r="1339" ht="12.75">
      <c r="P1339" s="8"/>
    </row>
    <row r="1340" ht="12.75">
      <c r="P1340" s="8"/>
    </row>
    <row r="1341" ht="12.75">
      <c r="P1341" s="8"/>
    </row>
    <row r="1342" ht="12.75">
      <c r="P1342" s="8"/>
    </row>
    <row r="1343" ht="12.75">
      <c r="P1343" s="8"/>
    </row>
    <row r="1344" ht="12.75">
      <c r="P1344" s="8"/>
    </row>
    <row r="1345" ht="12.75">
      <c r="P1345" s="8"/>
    </row>
    <row r="1346" ht="12.75">
      <c r="P1346" s="8"/>
    </row>
    <row r="1347" ht="12.75">
      <c r="P1347" s="8"/>
    </row>
    <row r="1348" ht="12.75">
      <c r="P1348" s="8"/>
    </row>
    <row r="1349" ht="12.75">
      <c r="P1349" s="8"/>
    </row>
    <row r="1350" ht="12.75">
      <c r="P1350" s="8"/>
    </row>
    <row r="1351" ht="12.75">
      <c r="P1351" s="8"/>
    </row>
    <row r="1352" ht="12.75">
      <c r="P1352" s="8"/>
    </row>
    <row r="1353" ht="12.75">
      <c r="P1353" s="8"/>
    </row>
    <row r="1354" ht="12.75">
      <c r="P1354" s="8"/>
    </row>
    <row r="1355" ht="12.75">
      <c r="P1355" s="8"/>
    </row>
    <row r="1356" ht="12.75">
      <c r="P1356" s="8"/>
    </row>
    <row r="1357" ht="12.75">
      <c r="P1357" s="8"/>
    </row>
    <row r="1358" ht="12.75">
      <c r="P1358" s="8"/>
    </row>
    <row r="1359" ht="12.75">
      <c r="P1359" s="8"/>
    </row>
    <row r="1360" ht="12.75">
      <c r="P1360" s="8"/>
    </row>
    <row r="1361" ht="12.75">
      <c r="P1361" s="8"/>
    </row>
    <row r="1362" ht="12.75">
      <c r="P1362" s="8"/>
    </row>
    <row r="1363" ht="12.75">
      <c r="P1363" s="8"/>
    </row>
    <row r="1364" ht="12.75">
      <c r="P1364" s="8"/>
    </row>
    <row r="1365" ht="12.75">
      <c r="P1365" s="8"/>
    </row>
    <row r="1366" ht="12.75">
      <c r="P1366" s="8"/>
    </row>
    <row r="1367" ht="12.75">
      <c r="P1367" s="8"/>
    </row>
    <row r="1368" ht="12.75">
      <c r="P1368" s="8"/>
    </row>
    <row r="1369" ht="12.75">
      <c r="P1369" s="8"/>
    </row>
    <row r="1370" ht="12.75">
      <c r="P1370" s="8"/>
    </row>
    <row r="1371" ht="12.75">
      <c r="P1371" s="8"/>
    </row>
    <row r="1372" ht="12.75">
      <c r="P1372" s="8"/>
    </row>
    <row r="1373" ht="12.75">
      <c r="P1373" s="8"/>
    </row>
    <row r="1374" ht="12.75">
      <c r="P1374" s="8"/>
    </row>
    <row r="1375" ht="12.75">
      <c r="P1375" s="8"/>
    </row>
    <row r="1376" ht="12.75">
      <c r="P1376" s="8"/>
    </row>
    <row r="1377" ht="12.75">
      <c r="P1377" s="8"/>
    </row>
    <row r="1378" ht="12.75">
      <c r="P1378" s="8"/>
    </row>
    <row r="1379" ht="12.75">
      <c r="P1379" s="8"/>
    </row>
    <row r="1380" ht="12.75">
      <c r="P1380" s="8"/>
    </row>
    <row r="1381" ht="12.75">
      <c r="P1381" s="8"/>
    </row>
    <row r="1382" ht="12.75">
      <c r="P1382" s="8"/>
    </row>
    <row r="1383" ht="12.75">
      <c r="P1383" s="8"/>
    </row>
    <row r="1384" ht="12.75">
      <c r="P1384" s="8"/>
    </row>
    <row r="1385" ht="12.75">
      <c r="P1385" s="8"/>
    </row>
    <row r="1386" ht="12.75">
      <c r="P1386" s="8"/>
    </row>
    <row r="1387" ht="12.75">
      <c r="P1387" s="8"/>
    </row>
    <row r="1388" ht="12.75">
      <c r="P1388" s="8"/>
    </row>
    <row r="1389" ht="12.75">
      <c r="P1389" s="8"/>
    </row>
    <row r="1390" ht="12.75">
      <c r="P1390" s="8"/>
    </row>
    <row r="1391" ht="12.75">
      <c r="P1391" s="8"/>
    </row>
    <row r="1392" ht="12.75">
      <c r="P1392" s="8"/>
    </row>
    <row r="1393" ht="12.75">
      <c r="P1393" s="8"/>
    </row>
    <row r="1394" ht="12.75">
      <c r="P1394" s="8"/>
    </row>
    <row r="1395" ht="12.75">
      <c r="P1395" s="8"/>
    </row>
    <row r="1396" ht="12.75">
      <c r="P1396" s="8"/>
    </row>
    <row r="1397" ht="12.75">
      <c r="P1397" s="8"/>
    </row>
    <row r="1398" ht="12.75">
      <c r="P1398" s="8"/>
    </row>
    <row r="1399" ht="12.75">
      <c r="P1399" s="8"/>
    </row>
    <row r="1400" ht="12.75">
      <c r="P1400" s="8"/>
    </row>
    <row r="1401" ht="12.75">
      <c r="P1401" s="8"/>
    </row>
    <row r="1402" ht="12.75">
      <c r="P1402" s="8"/>
    </row>
    <row r="1403" ht="12.75">
      <c r="P1403" s="8"/>
    </row>
    <row r="1404" ht="12.75">
      <c r="P1404" s="8"/>
    </row>
    <row r="1405" ht="12.75">
      <c r="P1405" s="8"/>
    </row>
    <row r="1406" ht="12.75">
      <c r="P1406" s="8"/>
    </row>
    <row r="1407" ht="12.75">
      <c r="P1407" s="8"/>
    </row>
    <row r="1408" ht="12.75">
      <c r="P1408" s="8"/>
    </row>
    <row r="1409" ht="12.75">
      <c r="P1409" s="8"/>
    </row>
    <row r="1410" ht="12.75">
      <c r="P1410" s="8"/>
    </row>
    <row r="1411" ht="12.75">
      <c r="P1411" s="8"/>
    </row>
    <row r="1412" ht="12.75">
      <c r="P1412" s="8"/>
    </row>
    <row r="1413" ht="12.75">
      <c r="P1413" s="8"/>
    </row>
    <row r="1414" ht="12.75">
      <c r="P1414" s="8"/>
    </row>
    <row r="1415" ht="12.75">
      <c r="P1415" s="8"/>
    </row>
    <row r="1416" ht="12.75">
      <c r="P1416" s="8"/>
    </row>
    <row r="1417" ht="12.75">
      <c r="P1417" s="8"/>
    </row>
    <row r="1418" ht="12.75">
      <c r="P1418" s="8"/>
    </row>
    <row r="1419" ht="12.75">
      <c r="P1419" s="8"/>
    </row>
    <row r="1420" ht="12.75">
      <c r="P1420" s="8"/>
    </row>
    <row r="1421" ht="12.75">
      <c r="P1421" s="8"/>
    </row>
    <row r="1422" ht="12.75">
      <c r="P1422" s="8"/>
    </row>
    <row r="1423" ht="12.75">
      <c r="P1423" s="8"/>
    </row>
    <row r="1424" ht="12.75">
      <c r="P1424" s="8"/>
    </row>
    <row r="1425" ht="12.75">
      <c r="P1425" s="8"/>
    </row>
    <row r="1426" ht="12.75">
      <c r="P1426" s="8"/>
    </row>
    <row r="1427" ht="12.75">
      <c r="P1427" s="8"/>
    </row>
    <row r="1428" ht="12.75">
      <c r="P1428" s="8"/>
    </row>
    <row r="1429" ht="12.75">
      <c r="P1429" s="8"/>
    </row>
    <row r="1430" ht="12.75">
      <c r="P1430" s="8"/>
    </row>
    <row r="1431" ht="12.75">
      <c r="P1431" s="8"/>
    </row>
    <row r="1432" ht="12.75">
      <c r="P1432" s="8"/>
    </row>
    <row r="1433" ht="12.75">
      <c r="P1433" s="8"/>
    </row>
    <row r="1434" ht="12.75">
      <c r="P1434" s="8"/>
    </row>
    <row r="1435" ht="12.75">
      <c r="P1435" s="8"/>
    </row>
    <row r="1436" ht="12.75">
      <c r="P1436" s="8"/>
    </row>
    <row r="1437" ht="12.75">
      <c r="P1437" s="8"/>
    </row>
    <row r="1438" ht="12.75">
      <c r="P1438" s="8"/>
    </row>
    <row r="1439" ht="12.75">
      <c r="P1439" s="8"/>
    </row>
    <row r="1440" ht="12.75">
      <c r="P1440" s="8"/>
    </row>
    <row r="1441" ht="12.75">
      <c r="P1441" s="8"/>
    </row>
    <row r="1442" ht="12.75">
      <c r="P1442" s="8"/>
    </row>
    <row r="1443" ht="12.75">
      <c r="P1443" s="8"/>
    </row>
    <row r="1444" ht="12.75">
      <c r="P1444" s="8"/>
    </row>
    <row r="1445" ht="12.75">
      <c r="P1445" s="8"/>
    </row>
    <row r="1446" ht="12.75">
      <c r="P1446" s="8"/>
    </row>
    <row r="1447" ht="12.75">
      <c r="P1447" s="8"/>
    </row>
    <row r="1448" ht="12.75">
      <c r="P1448" s="8"/>
    </row>
    <row r="1449" ht="12.75">
      <c r="P1449" s="8"/>
    </row>
    <row r="1450" ht="12.75">
      <c r="P1450" s="8"/>
    </row>
    <row r="1451" ht="12.75">
      <c r="P1451" s="8"/>
    </row>
    <row r="1452" ht="12.75">
      <c r="P1452" s="8"/>
    </row>
    <row r="1453" ht="12.75">
      <c r="P1453" s="8"/>
    </row>
    <row r="1454" ht="12.75">
      <c r="P1454" s="8"/>
    </row>
    <row r="1455" ht="12.75">
      <c r="P1455" s="8"/>
    </row>
    <row r="1456" ht="12.75">
      <c r="P1456" s="8"/>
    </row>
    <row r="1457" ht="12.75">
      <c r="P1457" s="8"/>
    </row>
    <row r="1458" ht="12.75">
      <c r="P1458" s="8"/>
    </row>
    <row r="1459" ht="12.75">
      <c r="P1459" s="8"/>
    </row>
    <row r="1460" ht="12.75">
      <c r="P1460" s="8"/>
    </row>
    <row r="1461" ht="12.75">
      <c r="P1461" s="8"/>
    </row>
    <row r="1462" ht="12.75">
      <c r="P1462" s="8"/>
    </row>
    <row r="1463" ht="12.75">
      <c r="P1463" s="8"/>
    </row>
    <row r="1464" ht="12.75">
      <c r="P1464" s="8"/>
    </row>
    <row r="1465" ht="12.75">
      <c r="P1465" s="8"/>
    </row>
    <row r="1466" ht="12.75">
      <c r="P1466" s="8"/>
    </row>
    <row r="1467" ht="12.75">
      <c r="P1467" s="8"/>
    </row>
    <row r="1468" ht="12.75">
      <c r="P1468" s="8"/>
    </row>
    <row r="1469" ht="12.75">
      <c r="P1469" s="8"/>
    </row>
    <row r="1470" ht="12.75">
      <c r="P1470" s="8"/>
    </row>
    <row r="1471" ht="12.75">
      <c r="P1471" s="8"/>
    </row>
    <row r="1472" ht="12.75">
      <c r="P1472" s="8"/>
    </row>
    <row r="1473" ht="12.75">
      <c r="P1473" s="8"/>
    </row>
    <row r="1474" ht="12.75">
      <c r="P1474" s="8"/>
    </row>
    <row r="1475" ht="12.75">
      <c r="P1475" s="8"/>
    </row>
    <row r="1476" ht="12.75">
      <c r="P1476" s="8"/>
    </row>
    <row r="1477" ht="12.75">
      <c r="P1477" s="8"/>
    </row>
    <row r="1478" ht="12.75">
      <c r="P1478" s="8"/>
    </row>
    <row r="1479" ht="12.75">
      <c r="P1479" s="8"/>
    </row>
    <row r="1480" ht="12.75">
      <c r="P1480" s="8"/>
    </row>
    <row r="1481" ht="12.75">
      <c r="P1481" s="8"/>
    </row>
    <row r="1482" ht="12.75">
      <c r="P1482" s="8"/>
    </row>
    <row r="1483" ht="12.75">
      <c r="P1483" s="8"/>
    </row>
    <row r="1484" ht="12.75">
      <c r="P1484" s="8"/>
    </row>
    <row r="1485" ht="12.75">
      <c r="P1485" s="8"/>
    </row>
    <row r="1486" ht="12.75">
      <c r="P1486" s="8"/>
    </row>
    <row r="1487" ht="12.75">
      <c r="P1487" s="8"/>
    </row>
    <row r="1488" ht="12.75">
      <c r="P1488" s="8"/>
    </row>
    <row r="1489" ht="12.75">
      <c r="P1489" s="8"/>
    </row>
    <row r="1490" ht="12.75">
      <c r="P1490" s="8"/>
    </row>
    <row r="1491" ht="12.75">
      <c r="P1491" s="8"/>
    </row>
    <row r="1492" ht="12.75">
      <c r="P1492" s="8"/>
    </row>
    <row r="1493" ht="12.75">
      <c r="P1493" s="8"/>
    </row>
    <row r="1494" ht="12.75">
      <c r="P1494" s="8"/>
    </row>
    <row r="1495" ht="12.75">
      <c r="P1495" s="8"/>
    </row>
    <row r="1496" ht="12.75">
      <c r="P1496" s="8"/>
    </row>
    <row r="1497" ht="12.75">
      <c r="P1497" s="8"/>
    </row>
    <row r="1498" ht="12.75">
      <c r="P1498" s="8"/>
    </row>
    <row r="1499" ht="12.75">
      <c r="P1499" s="8"/>
    </row>
    <row r="1500" ht="12.75">
      <c r="P1500" s="8"/>
    </row>
    <row r="1501" ht="12.75">
      <c r="P1501" s="8"/>
    </row>
    <row r="1502" ht="12.75">
      <c r="P1502" s="8"/>
    </row>
    <row r="1503" ht="12.75">
      <c r="P1503" s="8"/>
    </row>
    <row r="1504" ht="12.75">
      <c r="P1504" s="8"/>
    </row>
    <row r="1505" ht="12.75">
      <c r="P1505" s="8"/>
    </row>
    <row r="1506" ht="12.75">
      <c r="P1506" s="8"/>
    </row>
    <row r="1507" ht="12.75">
      <c r="P1507" s="8"/>
    </row>
    <row r="1508" ht="12.75">
      <c r="P1508" s="8"/>
    </row>
    <row r="1509" ht="12.75">
      <c r="P1509" s="8"/>
    </row>
    <row r="1510" ht="12.75">
      <c r="P1510" s="8"/>
    </row>
    <row r="1511" ht="12.75">
      <c r="P1511" s="8"/>
    </row>
    <row r="1512" ht="12.75">
      <c r="P1512" s="8"/>
    </row>
    <row r="1513" ht="12.75">
      <c r="P1513" s="8"/>
    </row>
    <row r="1514" ht="12.75">
      <c r="P1514" s="8"/>
    </row>
    <row r="1515" ht="12.75">
      <c r="P1515" s="8"/>
    </row>
    <row r="1516" ht="12.75">
      <c r="P1516" s="8"/>
    </row>
    <row r="1517" ht="12.75">
      <c r="P1517" s="8"/>
    </row>
    <row r="1518" ht="12.75">
      <c r="P1518" s="8"/>
    </row>
    <row r="1519" ht="12.75">
      <c r="P1519" s="8"/>
    </row>
    <row r="1520" ht="12.75">
      <c r="P1520" s="8"/>
    </row>
    <row r="1521" ht="12.75">
      <c r="P1521" s="8"/>
    </row>
    <row r="1522" ht="12.75">
      <c r="P1522" s="8"/>
    </row>
    <row r="1523" ht="12.75">
      <c r="P1523" s="8"/>
    </row>
    <row r="1524" ht="12.75">
      <c r="P1524" s="8"/>
    </row>
    <row r="1525" ht="12.75">
      <c r="P1525" s="8"/>
    </row>
    <row r="1526" ht="12.75">
      <c r="P1526" s="8"/>
    </row>
    <row r="1527" ht="12.75">
      <c r="P1527" s="8"/>
    </row>
    <row r="1528" ht="12.75">
      <c r="P1528" s="8"/>
    </row>
    <row r="1529" ht="12.75">
      <c r="P1529" s="8"/>
    </row>
    <row r="1530" ht="12.75">
      <c r="P1530" s="8"/>
    </row>
    <row r="1531" ht="12.75">
      <c r="P1531" s="8"/>
    </row>
    <row r="1532" ht="12.75">
      <c r="P1532" s="8"/>
    </row>
    <row r="1533" ht="12.75">
      <c r="P1533" s="8"/>
    </row>
    <row r="1534" ht="12.75">
      <c r="P1534" s="8"/>
    </row>
    <row r="1535" ht="12.75">
      <c r="P1535" s="8"/>
    </row>
    <row r="1536" ht="12.75">
      <c r="P1536" s="8"/>
    </row>
    <row r="1537" ht="12.75">
      <c r="P1537" s="8"/>
    </row>
    <row r="1538" ht="12.75">
      <c r="P1538" s="8"/>
    </row>
    <row r="1539" ht="12.75">
      <c r="P1539" s="8"/>
    </row>
    <row r="1540" ht="12.75">
      <c r="P1540" s="8"/>
    </row>
    <row r="1541" ht="12.75">
      <c r="P1541" s="8"/>
    </row>
    <row r="1542" ht="12.75">
      <c r="P1542" s="8"/>
    </row>
    <row r="1543" ht="12.75">
      <c r="P1543" s="8"/>
    </row>
    <row r="1544" ht="12.75">
      <c r="P1544" s="8"/>
    </row>
    <row r="1545" ht="12.75">
      <c r="P1545" s="8"/>
    </row>
    <row r="1546" ht="12.75">
      <c r="P1546" s="8"/>
    </row>
    <row r="1547" ht="12.75">
      <c r="P1547" s="8"/>
    </row>
    <row r="1548" ht="12.75">
      <c r="P1548" s="8"/>
    </row>
    <row r="1549" ht="12.75">
      <c r="P1549" s="8"/>
    </row>
    <row r="1550" ht="12.75">
      <c r="P1550" s="8"/>
    </row>
    <row r="1551" ht="12.75">
      <c r="P1551" s="8"/>
    </row>
    <row r="1552" ht="12.75">
      <c r="P1552" s="8"/>
    </row>
    <row r="1553" ht="12.75">
      <c r="P1553" s="8"/>
    </row>
    <row r="1554" ht="12.75">
      <c r="P1554" s="8"/>
    </row>
    <row r="1555" ht="12.75">
      <c r="P1555" s="8"/>
    </row>
    <row r="1556" ht="12.75">
      <c r="P1556" s="8"/>
    </row>
    <row r="1557" ht="12.75">
      <c r="P1557" s="8"/>
    </row>
    <row r="1558" ht="12.75">
      <c r="P1558" s="8"/>
    </row>
    <row r="1559" ht="12.75">
      <c r="P1559" s="8"/>
    </row>
    <row r="1560" ht="12.75">
      <c r="P1560" s="8"/>
    </row>
    <row r="1561" ht="12.75">
      <c r="P1561" s="8"/>
    </row>
    <row r="1562" ht="12.75">
      <c r="P1562" s="8"/>
    </row>
    <row r="1563" ht="12.75">
      <c r="P1563" s="8"/>
    </row>
    <row r="1564" ht="12.75">
      <c r="P1564" s="8"/>
    </row>
    <row r="1565" ht="12.75">
      <c r="P1565" s="8"/>
    </row>
    <row r="1566" ht="12.75">
      <c r="P1566" s="8"/>
    </row>
    <row r="1567" ht="12.75">
      <c r="P1567" s="8"/>
    </row>
    <row r="1568" ht="12.75">
      <c r="P1568" s="8"/>
    </row>
    <row r="1569" ht="12.75">
      <c r="P1569" s="8"/>
    </row>
    <row r="1570" ht="12.75">
      <c r="P1570" s="8"/>
    </row>
    <row r="1571" ht="12.75">
      <c r="P1571" s="8"/>
    </row>
    <row r="1572" ht="12.75">
      <c r="P1572" s="8"/>
    </row>
    <row r="1573" ht="12.75">
      <c r="P1573" s="8"/>
    </row>
    <row r="1574" ht="12.75">
      <c r="P1574" s="8"/>
    </row>
    <row r="1575" ht="12.75">
      <c r="P1575" s="8"/>
    </row>
    <row r="1576" ht="12.75">
      <c r="P1576" s="8"/>
    </row>
    <row r="1577" ht="12.75">
      <c r="P1577" s="8"/>
    </row>
    <row r="1578" ht="12.75">
      <c r="P1578" s="8"/>
    </row>
    <row r="1579" ht="12.75">
      <c r="P1579" s="8"/>
    </row>
    <row r="1580" ht="12.75">
      <c r="P1580" s="8"/>
    </row>
    <row r="1581" ht="12.75">
      <c r="P1581" s="8"/>
    </row>
    <row r="1582" ht="12.75">
      <c r="P1582" s="8"/>
    </row>
    <row r="1583" ht="12.75">
      <c r="P1583" s="8"/>
    </row>
    <row r="1584" ht="12.75">
      <c r="P1584" s="8"/>
    </row>
    <row r="1585" ht="12.75">
      <c r="P1585" s="8"/>
    </row>
    <row r="1586" ht="12.75">
      <c r="P1586" s="8"/>
    </row>
    <row r="1587" ht="12.75">
      <c r="P1587" s="8"/>
    </row>
    <row r="1588" ht="12.75">
      <c r="P1588" s="8"/>
    </row>
    <row r="1589" ht="12.75">
      <c r="P1589" s="8"/>
    </row>
    <row r="1590" ht="12.75">
      <c r="P1590" s="8"/>
    </row>
    <row r="1591" ht="12.75">
      <c r="P1591" s="8"/>
    </row>
    <row r="1592" ht="12.75">
      <c r="P1592" s="8"/>
    </row>
    <row r="1593" ht="12.75">
      <c r="P1593" s="8"/>
    </row>
    <row r="1594" ht="12.75">
      <c r="P1594" s="8"/>
    </row>
    <row r="1595" ht="12.75">
      <c r="P1595" s="8"/>
    </row>
    <row r="1596" ht="12.75">
      <c r="P1596" s="8"/>
    </row>
    <row r="1597" ht="12.75">
      <c r="P1597" s="8"/>
    </row>
    <row r="1598" ht="12.75">
      <c r="P1598" s="8"/>
    </row>
    <row r="1599" ht="12.75">
      <c r="P1599" s="8"/>
    </row>
    <row r="1600" ht="12.75">
      <c r="P1600" s="8"/>
    </row>
    <row r="1601" ht="12.75">
      <c r="P1601" s="8"/>
    </row>
    <row r="1602" ht="12.75">
      <c r="P1602" s="8"/>
    </row>
    <row r="1603" ht="12.75">
      <c r="P1603" s="8"/>
    </row>
    <row r="1604" ht="12.75">
      <c r="P1604" s="8"/>
    </row>
    <row r="1605" ht="12.75">
      <c r="P1605" s="8"/>
    </row>
    <row r="1606" ht="12.75">
      <c r="P1606" s="8"/>
    </row>
    <row r="1607" ht="12.75">
      <c r="P1607" s="8"/>
    </row>
    <row r="1608" ht="12.75">
      <c r="P1608" s="8"/>
    </row>
    <row r="1609" ht="12.75">
      <c r="P1609" s="8"/>
    </row>
    <row r="1610" ht="12.75">
      <c r="P1610" s="8"/>
    </row>
    <row r="1611" ht="12.75">
      <c r="P1611" s="8"/>
    </row>
    <row r="1612" ht="12.75">
      <c r="P1612" s="8"/>
    </row>
    <row r="1613" ht="12.75">
      <c r="P1613" s="8"/>
    </row>
    <row r="1614" ht="12.75">
      <c r="P1614" s="8"/>
    </row>
    <row r="1615" ht="12.75">
      <c r="P1615" s="8"/>
    </row>
    <row r="1616" ht="12.75">
      <c r="P1616" s="8"/>
    </row>
    <row r="1617" ht="12.75">
      <c r="P1617" s="8"/>
    </row>
    <row r="1618" ht="12.75">
      <c r="P1618" s="8"/>
    </row>
    <row r="1619" ht="12.75">
      <c r="P1619" s="8"/>
    </row>
    <row r="1620" ht="12.75">
      <c r="P1620" s="8"/>
    </row>
    <row r="1621" ht="12.75">
      <c r="P1621" s="8"/>
    </row>
    <row r="1622" ht="12.75">
      <c r="P1622" s="8"/>
    </row>
    <row r="1623" ht="12.75">
      <c r="P1623" s="8"/>
    </row>
    <row r="1624" ht="12.75">
      <c r="P1624" s="8"/>
    </row>
    <row r="1625" ht="12.75">
      <c r="P1625" s="8"/>
    </row>
    <row r="1626" ht="12.75">
      <c r="P1626" s="8"/>
    </row>
    <row r="1627" ht="12.75">
      <c r="P1627" s="8"/>
    </row>
    <row r="1628" ht="12.75">
      <c r="P1628" s="8"/>
    </row>
    <row r="1629" ht="12.75">
      <c r="P1629" s="8"/>
    </row>
    <row r="1630" ht="12.75">
      <c r="P1630" s="8"/>
    </row>
    <row r="1631" ht="12.75">
      <c r="P1631" s="8"/>
    </row>
    <row r="1632" ht="12.75">
      <c r="P1632" s="8"/>
    </row>
    <row r="1633" ht="12.75">
      <c r="P1633" s="8"/>
    </row>
    <row r="1634" ht="12.75">
      <c r="P1634" s="8"/>
    </row>
    <row r="1635" ht="12.75">
      <c r="P1635" s="8"/>
    </row>
    <row r="1636" ht="12.75">
      <c r="P1636" s="8"/>
    </row>
    <row r="1637" ht="12.75">
      <c r="P1637" s="8"/>
    </row>
    <row r="1638" ht="12.75">
      <c r="P1638" s="8"/>
    </row>
    <row r="1639" ht="12.75">
      <c r="P1639" s="8"/>
    </row>
    <row r="1640" ht="12.75">
      <c r="P1640" s="8"/>
    </row>
    <row r="1641" ht="12.75">
      <c r="P1641" s="8"/>
    </row>
    <row r="1642" ht="12.75">
      <c r="P1642" s="8"/>
    </row>
    <row r="1643" ht="12.75">
      <c r="P1643" s="8"/>
    </row>
    <row r="1644" ht="12.75">
      <c r="P1644" s="8"/>
    </row>
    <row r="1645" ht="12.75">
      <c r="P1645" s="8"/>
    </row>
    <row r="1646" ht="12.75">
      <c r="P1646" s="8"/>
    </row>
    <row r="1647" ht="12.75">
      <c r="P1647" s="8"/>
    </row>
    <row r="1648" ht="12.75">
      <c r="P1648" s="8"/>
    </row>
    <row r="1649" ht="12.75">
      <c r="P1649" s="8"/>
    </row>
    <row r="1650" ht="12.75">
      <c r="P1650" s="8"/>
    </row>
    <row r="1651" ht="12.75">
      <c r="P1651" s="8"/>
    </row>
    <row r="1652" ht="12.75">
      <c r="P1652" s="8"/>
    </row>
    <row r="1653" ht="12.75">
      <c r="P1653" s="8"/>
    </row>
    <row r="1654" ht="12.75">
      <c r="P1654" s="8"/>
    </row>
    <row r="1655" ht="12.75">
      <c r="P1655" s="8"/>
    </row>
    <row r="1656" ht="12.75">
      <c r="P1656" s="8"/>
    </row>
    <row r="1657" ht="12.75">
      <c r="P1657" s="8"/>
    </row>
    <row r="1658" ht="12.75">
      <c r="P1658" s="8"/>
    </row>
    <row r="1659" ht="12.75">
      <c r="P1659" s="8"/>
    </row>
    <row r="1660" ht="12.75">
      <c r="P1660" s="8"/>
    </row>
    <row r="1661" ht="12.75">
      <c r="P1661" s="8"/>
    </row>
    <row r="1662" ht="12.75">
      <c r="P1662" s="8"/>
    </row>
    <row r="1663" ht="12.75">
      <c r="P1663" s="8"/>
    </row>
    <row r="1664" ht="12.75">
      <c r="P1664" s="8"/>
    </row>
    <row r="1665" ht="12.75">
      <c r="P1665" s="8"/>
    </row>
    <row r="1666" ht="12.75">
      <c r="P1666" s="8"/>
    </row>
    <row r="1667" ht="12.75">
      <c r="P1667" s="8"/>
    </row>
    <row r="1668" ht="12.75">
      <c r="P1668" s="8"/>
    </row>
    <row r="1669" ht="12.75">
      <c r="P1669" s="8"/>
    </row>
    <row r="1670" ht="12.75">
      <c r="P1670" s="8"/>
    </row>
    <row r="1671" ht="12.75">
      <c r="P1671" s="8"/>
    </row>
    <row r="1672" ht="12.75">
      <c r="P1672" s="8"/>
    </row>
    <row r="1673" ht="12.75">
      <c r="P1673" s="8"/>
    </row>
    <row r="1674" ht="12.75">
      <c r="P1674" s="8"/>
    </row>
    <row r="1675" ht="12.75">
      <c r="P1675" s="8"/>
    </row>
    <row r="1676" ht="12.75">
      <c r="P1676" s="8"/>
    </row>
    <row r="1677" ht="12.75">
      <c r="P1677" s="8"/>
    </row>
    <row r="1678" ht="12.75">
      <c r="P1678" s="8"/>
    </row>
    <row r="1679" ht="12.75">
      <c r="P1679" s="8"/>
    </row>
    <row r="1680" ht="12.75">
      <c r="P1680" s="8"/>
    </row>
    <row r="1681" ht="12.75">
      <c r="P1681" s="8"/>
    </row>
    <row r="1682" ht="12.75">
      <c r="P1682" s="8"/>
    </row>
    <row r="1683" ht="12.75">
      <c r="P1683" s="8"/>
    </row>
    <row r="1684" ht="12.75">
      <c r="P1684" s="8"/>
    </row>
    <row r="1685" ht="12.75">
      <c r="P1685" s="8"/>
    </row>
    <row r="1686" ht="12.75">
      <c r="P1686" s="8"/>
    </row>
    <row r="1687" ht="12.75">
      <c r="P1687" s="8"/>
    </row>
    <row r="1688" ht="12.75">
      <c r="P1688" s="8"/>
    </row>
    <row r="1689" ht="12.75">
      <c r="P1689" s="8"/>
    </row>
    <row r="1690" ht="12.75">
      <c r="P1690" s="8"/>
    </row>
    <row r="1691" ht="12.75">
      <c r="P1691" s="8"/>
    </row>
    <row r="1692" ht="12.75">
      <c r="P1692" s="8"/>
    </row>
    <row r="1693" ht="12.75">
      <c r="P1693" s="8"/>
    </row>
    <row r="1694" ht="12.75">
      <c r="P1694" s="8"/>
    </row>
    <row r="1695" ht="12.75">
      <c r="P1695" s="8"/>
    </row>
    <row r="1696" ht="12.75">
      <c r="P1696" s="8"/>
    </row>
    <row r="1697" ht="12.75">
      <c r="P1697" s="8"/>
    </row>
    <row r="1698" ht="12.75">
      <c r="P1698" s="8"/>
    </row>
    <row r="1699" ht="12.75">
      <c r="P1699" s="8"/>
    </row>
    <row r="1700" ht="12.75">
      <c r="P1700" s="8"/>
    </row>
    <row r="1701" ht="12.75">
      <c r="P1701" s="8"/>
    </row>
    <row r="1702" ht="12.75">
      <c r="P1702" s="8"/>
    </row>
    <row r="1703" ht="12.75">
      <c r="P1703" s="8"/>
    </row>
    <row r="1704" ht="12.75">
      <c r="P1704" s="8"/>
    </row>
    <row r="1705" ht="12.75">
      <c r="P1705" s="8"/>
    </row>
    <row r="1706" ht="12.75">
      <c r="P1706" s="8"/>
    </row>
    <row r="1707" ht="12.75">
      <c r="P1707" s="8"/>
    </row>
    <row r="1708" ht="12.75">
      <c r="P1708" s="8"/>
    </row>
    <row r="1709" ht="12.75">
      <c r="P1709" s="8"/>
    </row>
    <row r="1710" ht="12.75">
      <c r="P1710" s="8"/>
    </row>
    <row r="1711" ht="12.75">
      <c r="P1711" s="8"/>
    </row>
    <row r="1712" ht="12.75">
      <c r="P1712" s="8"/>
    </row>
    <row r="1713" ht="12.75">
      <c r="P1713" s="8"/>
    </row>
    <row r="1714" ht="12.75">
      <c r="P1714" s="8"/>
    </row>
    <row r="1715" ht="12.75">
      <c r="P1715" s="8"/>
    </row>
    <row r="1716" ht="12.75">
      <c r="P1716" s="8"/>
    </row>
    <row r="1717" ht="12.75">
      <c r="P1717" s="8"/>
    </row>
    <row r="1718" ht="12.75">
      <c r="P1718" s="8"/>
    </row>
    <row r="1719" ht="12.75">
      <c r="P1719" s="8"/>
    </row>
    <row r="1720" ht="12.75">
      <c r="P1720" s="8"/>
    </row>
    <row r="1721" ht="12.75">
      <c r="P1721" s="8"/>
    </row>
    <row r="1722" ht="12.75">
      <c r="P1722" s="8"/>
    </row>
    <row r="1723" ht="12.75">
      <c r="P1723" s="8"/>
    </row>
    <row r="1724" ht="12.75">
      <c r="P1724" s="8"/>
    </row>
    <row r="1725" ht="12.75">
      <c r="P1725" s="8"/>
    </row>
    <row r="1726" ht="12.75">
      <c r="P1726" s="8"/>
    </row>
    <row r="1727" ht="12.75">
      <c r="P1727" s="8"/>
    </row>
    <row r="1728" ht="12.75">
      <c r="P1728" s="8"/>
    </row>
    <row r="1729" ht="12.75">
      <c r="P1729" s="8"/>
    </row>
    <row r="1730" ht="12.75">
      <c r="P1730" s="8"/>
    </row>
    <row r="1731" ht="12.75">
      <c r="P1731" s="8"/>
    </row>
    <row r="1732" ht="12.75">
      <c r="P1732" s="8"/>
    </row>
    <row r="1733" ht="12.75">
      <c r="P1733" s="8"/>
    </row>
    <row r="1734" ht="12.75">
      <c r="P1734" s="8"/>
    </row>
    <row r="1735" ht="12.75">
      <c r="P1735" s="8"/>
    </row>
    <row r="1736" ht="12.75">
      <c r="P1736" s="8"/>
    </row>
    <row r="1737" ht="12.75">
      <c r="P1737" s="8"/>
    </row>
    <row r="1738" ht="12.75">
      <c r="P1738" s="8"/>
    </row>
    <row r="1739" ht="12.75">
      <c r="P1739" s="8"/>
    </row>
    <row r="1740" ht="12.75">
      <c r="P1740" s="8"/>
    </row>
    <row r="1741" ht="12.75">
      <c r="P1741" s="8"/>
    </row>
    <row r="1742" ht="12.75">
      <c r="P1742" s="8"/>
    </row>
    <row r="1743" ht="12.75">
      <c r="P1743" s="8"/>
    </row>
    <row r="1744" ht="12.75">
      <c r="P1744" s="8"/>
    </row>
    <row r="1745" ht="12.75">
      <c r="P1745" s="8"/>
    </row>
    <row r="1746" ht="12.75">
      <c r="P1746" s="8"/>
    </row>
    <row r="1747" ht="12.75">
      <c r="P1747" s="8"/>
    </row>
    <row r="1748" ht="12.75">
      <c r="P1748" s="8"/>
    </row>
    <row r="1749" ht="12.75">
      <c r="P1749" s="8"/>
    </row>
    <row r="1750" ht="12.75">
      <c r="P1750" s="8"/>
    </row>
    <row r="1751" ht="12.75">
      <c r="P1751" s="8"/>
    </row>
    <row r="1752" ht="12.75">
      <c r="P1752" s="8"/>
    </row>
    <row r="1753" ht="12.75">
      <c r="P1753" s="8"/>
    </row>
    <row r="1754" ht="12.75">
      <c r="P1754" s="8"/>
    </row>
    <row r="1755" ht="12.75">
      <c r="P1755" s="8"/>
    </row>
    <row r="1756" ht="12.75">
      <c r="P1756" s="8"/>
    </row>
    <row r="1757" ht="12.75">
      <c r="P1757" s="8"/>
    </row>
    <row r="1758" ht="12.75">
      <c r="P1758" s="8"/>
    </row>
    <row r="1759" ht="12.75">
      <c r="P1759" s="8"/>
    </row>
    <row r="1760" ht="12.75">
      <c r="P1760" s="8"/>
    </row>
    <row r="1761" ht="12.75">
      <c r="P1761" s="8"/>
    </row>
    <row r="1762" ht="12.75">
      <c r="P1762" s="8"/>
    </row>
    <row r="1763" ht="12.75">
      <c r="P1763" s="8"/>
    </row>
    <row r="1764" ht="12.75">
      <c r="P1764" s="8"/>
    </row>
    <row r="1765" ht="12.75">
      <c r="P1765" s="8"/>
    </row>
    <row r="1766" ht="12.75">
      <c r="P1766" s="8"/>
    </row>
    <row r="1767" ht="12.75">
      <c r="P1767" s="8"/>
    </row>
    <row r="1768" ht="12.75">
      <c r="P1768" s="8"/>
    </row>
    <row r="1769" ht="12.75">
      <c r="P1769" s="8"/>
    </row>
    <row r="1770" ht="12.75">
      <c r="P1770" s="8"/>
    </row>
    <row r="1771" ht="12.75">
      <c r="P1771" s="8"/>
    </row>
    <row r="1772" ht="12.75">
      <c r="P1772" s="8"/>
    </row>
    <row r="1773" ht="12.75">
      <c r="P1773" s="8"/>
    </row>
    <row r="1774" ht="12.75">
      <c r="P1774" s="8"/>
    </row>
    <row r="1775" ht="12.75">
      <c r="P1775" s="8"/>
    </row>
    <row r="1776" ht="12.75">
      <c r="P1776" s="8"/>
    </row>
    <row r="1777" ht="12.75">
      <c r="P1777" s="8"/>
    </row>
    <row r="1778" ht="12.75">
      <c r="P1778" s="8"/>
    </row>
    <row r="1779" ht="12.75">
      <c r="P1779" s="8"/>
    </row>
    <row r="1780" ht="12.75">
      <c r="P1780" s="8"/>
    </row>
    <row r="1781" ht="12.75">
      <c r="P1781" s="8"/>
    </row>
    <row r="1782" ht="12.75">
      <c r="P1782" s="8"/>
    </row>
    <row r="1783" ht="12.75">
      <c r="P1783" s="8"/>
    </row>
    <row r="1784" ht="12.75">
      <c r="P1784" s="8"/>
    </row>
    <row r="1785" ht="12.75">
      <c r="P1785" s="8"/>
    </row>
    <row r="1786" ht="12.75">
      <c r="P1786" s="8"/>
    </row>
    <row r="1787" ht="12.75">
      <c r="P1787" s="8"/>
    </row>
    <row r="1788" ht="12.75">
      <c r="P1788" s="8"/>
    </row>
    <row r="1789" ht="12.75">
      <c r="P1789" s="8"/>
    </row>
    <row r="1790" ht="12.75">
      <c r="P1790" s="8"/>
    </row>
    <row r="1791" ht="12.75">
      <c r="P1791" s="8"/>
    </row>
    <row r="1792" ht="12.75">
      <c r="P1792" s="8"/>
    </row>
    <row r="1793" ht="12.75">
      <c r="P1793" s="8"/>
    </row>
    <row r="1794" ht="12.75">
      <c r="P1794" s="8"/>
    </row>
    <row r="1795" ht="12.75">
      <c r="P1795" s="8"/>
    </row>
    <row r="1796" ht="12.75">
      <c r="P1796" s="8"/>
    </row>
    <row r="1797" ht="12.75">
      <c r="P1797" s="8"/>
    </row>
    <row r="1798" ht="12.75">
      <c r="P1798" s="8"/>
    </row>
    <row r="1799" ht="12.75">
      <c r="P1799" s="8"/>
    </row>
    <row r="1800" ht="12.75">
      <c r="P1800" s="8"/>
    </row>
    <row r="1801" ht="12.75">
      <c r="P1801" s="8"/>
    </row>
    <row r="1802" ht="12.75">
      <c r="P1802" s="8"/>
    </row>
    <row r="1803" ht="12.75">
      <c r="P1803" s="8"/>
    </row>
    <row r="1804" ht="12.75">
      <c r="P1804" s="8"/>
    </row>
    <row r="1805" ht="12.75">
      <c r="P1805" s="8"/>
    </row>
    <row r="1806" ht="12.75">
      <c r="P1806" s="8"/>
    </row>
    <row r="1807" ht="12.75">
      <c r="P1807" s="8"/>
    </row>
    <row r="1808" ht="12.75">
      <c r="P1808" s="8"/>
    </row>
    <row r="1809" ht="12.75">
      <c r="P1809" s="8"/>
    </row>
    <row r="1810" ht="12.75">
      <c r="P1810" s="8"/>
    </row>
    <row r="1811" ht="12.75">
      <c r="P1811" s="8"/>
    </row>
    <row r="1812" ht="12.75">
      <c r="P1812" s="8"/>
    </row>
    <row r="1813" ht="12.75">
      <c r="P1813" s="8"/>
    </row>
    <row r="1814" ht="12.75">
      <c r="P1814" s="8"/>
    </row>
    <row r="1815" ht="12.75">
      <c r="P1815" s="8"/>
    </row>
    <row r="1816" ht="12.75">
      <c r="P1816" s="8"/>
    </row>
    <row r="1817" ht="12.75">
      <c r="P1817" s="8"/>
    </row>
    <row r="1818" ht="12.75">
      <c r="P1818" s="8"/>
    </row>
    <row r="1819" ht="12.75">
      <c r="P1819" s="8"/>
    </row>
    <row r="1820" ht="12.75">
      <c r="P1820" s="8"/>
    </row>
    <row r="1821" ht="12.75">
      <c r="P1821" s="8"/>
    </row>
    <row r="1822" ht="12.75">
      <c r="P1822" s="8"/>
    </row>
    <row r="1823" ht="12.75">
      <c r="P1823" s="8"/>
    </row>
    <row r="1824" ht="12.75">
      <c r="P1824" s="8"/>
    </row>
    <row r="1825" ht="12.75">
      <c r="P1825" s="8"/>
    </row>
    <row r="1826" ht="12.75">
      <c r="P1826" s="8"/>
    </row>
    <row r="1827" ht="12.75">
      <c r="P1827" s="8"/>
    </row>
    <row r="1828" ht="12.75">
      <c r="P1828" s="8"/>
    </row>
    <row r="1829" ht="12.75">
      <c r="P1829" s="8"/>
    </row>
    <row r="1830" ht="12.75">
      <c r="P1830" s="8"/>
    </row>
    <row r="1831" ht="12.75">
      <c r="P1831" s="8"/>
    </row>
    <row r="1832" ht="12.75">
      <c r="P1832" s="8"/>
    </row>
    <row r="1833" ht="12.75">
      <c r="P1833" s="8"/>
    </row>
    <row r="1834" ht="12.75">
      <c r="P1834" s="8"/>
    </row>
    <row r="1835" ht="12.75">
      <c r="P1835" s="8"/>
    </row>
    <row r="1836" ht="12.75">
      <c r="P1836" s="8"/>
    </row>
    <row r="1837" ht="12.75">
      <c r="P1837" s="8"/>
    </row>
    <row r="1838" ht="12.75">
      <c r="P1838" s="8"/>
    </row>
    <row r="1839" ht="12.75">
      <c r="P1839" s="8"/>
    </row>
    <row r="1840" ht="12.75">
      <c r="P1840" s="8"/>
    </row>
    <row r="1841" ht="12.75">
      <c r="P1841" s="8"/>
    </row>
    <row r="1842" ht="12.75">
      <c r="P1842" s="8"/>
    </row>
    <row r="1843" ht="12.75">
      <c r="P1843" s="8"/>
    </row>
    <row r="1844" ht="12.75">
      <c r="P1844" s="8"/>
    </row>
    <row r="1845" ht="12.75">
      <c r="P1845" s="8"/>
    </row>
    <row r="1846" ht="12.75">
      <c r="P1846" s="8"/>
    </row>
    <row r="1847" ht="12.75">
      <c r="P1847" s="8"/>
    </row>
    <row r="1848" ht="12.75">
      <c r="P1848" s="8"/>
    </row>
    <row r="1849" ht="12.75">
      <c r="P1849" s="8"/>
    </row>
    <row r="1850" ht="12.75">
      <c r="P1850" s="8"/>
    </row>
    <row r="1851" ht="12.75">
      <c r="P1851" s="8"/>
    </row>
    <row r="1852" ht="12.75">
      <c r="P1852" s="8"/>
    </row>
    <row r="1853" ht="12.75">
      <c r="P1853" s="8"/>
    </row>
    <row r="1854" ht="12.75">
      <c r="P1854" s="8"/>
    </row>
    <row r="1855" ht="12.75">
      <c r="P1855" s="8"/>
    </row>
    <row r="1856" ht="12.75">
      <c r="P1856" s="8"/>
    </row>
    <row r="1857" ht="12.75">
      <c r="P1857" s="8"/>
    </row>
    <row r="1858" ht="12.75">
      <c r="P1858" s="8"/>
    </row>
    <row r="1859" ht="12.75">
      <c r="P1859" s="8"/>
    </row>
    <row r="1860" ht="12.75">
      <c r="P1860" s="8"/>
    </row>
    <row r="1861" ht="12.75">
      <c r="P1861" s="8"/>
    </row>
    <row r="1862" ht="12.75">
      <c r="P1862" s="8"/>
    </row>
    <row r="1863" ht="12.75">
      <c r="P1863" s="8"/>
    </row>
    <row r="1864" ht="12.75">
      <c r="P1864" s="8"/>
    </row>
    <row r="1865" ht="12.75">
      <c r="P1865" s="8"/>
    </row>
    <row r="1866" ht="12.75">
      <c r="P1866" s="8"/>
    </row>
    <row r="1867" ht="12.75">
      <c r="P1867" s="8"/>
    </row>
    <row r="1868" ht="12.75">
      <c r="P1868" s="8"/>
    </row>
    <row r="1869" ht="12.75">
      <c r="P1869" s="8"/>
    </row>
    <row r="1870" ht="12.75">
      <c r="P1870" s="8"/>
    </row>
    <row r="1871" ht="12.75">
      <c r="P1871" s="8"/>
    </row>
    <row r="1872" ht="12.75">
      <c r="P1872" s="8"/>
    </row>
    <row r="1873" ht="12.75">
      <c r="P1873" s="8"/>
    </row>
    <row r="1874" ht="12.75">
      <c r="P1874" s="8"/>
    </row>
    <row r="1875" ht="12.75">
      <c r="P1875" s="8"/>
    </row>
    <row r="1876" ht="12.75">
      <c r="P1876" s="8"/>
    </row>
    <row r="1877" ht="12.75">
      <c r="P1877" s="8"/>
    </row>
    <row r="1878" ht="12.75">
      <c r="P1878" s="8"/>
    </row>
    <row r="1879" ht="12.75">
      <c r="P1879" s="8"/>
    </row>
    <row r="1880" ht="12.75">
      <c r="P1880" s="8"/>
    </row>
    <row r="1881" ht="12.75">
      <c r="P1881" s="8"/>
    </row>
    <row r="1882" ht="12.75">
      <c r="P1882" s="8"/>
    </row>
    <row r="1883" ht="12.75">
      <c r="P1883" s="8"/>
    </row>
    <row r="1884" ht="12.75">
      <c r="P1884" s="8"/>
    </row>
    <row r="1885" ht="12.75">
      <c r="P1885" s="8"/>
    </row>
    <row r="1886" ht="12.75">
      <c r="P1886" s="8"/>
    </row>
    <row r="1887" ht="12.75">
      <c r="P1887" s="8"/>
    </row>
    <row r="1888" ht="12.75">
      <c r="P1888" s="8"/>
    </row>
    <row r="1889" ht="12.75">
      <c r="P1889" s="8"/>
    </row>
    <row r="1890" ht="12.75">
      <c r="P1890" s="8"/>
    </row>
    <row r="1891" ht="12.75">
      <c r="P1891" s="8"/>
    </row>
    <row r="1892" ht="12.75">
      <c r="P1892" s="8"/>
    </row>
    <row r="1893" ht="12.75">
      <c r="P1893" s="8"/>
    </row>
    <row r="1894" ht="12.75">
      <c r="P1894" s="8"/>
    </row>
    <row r="1895" ht="12.75">
      <c r="P1895" s="8"/>
    </row>
    <row r="1896" ht="12.75">
      <c r="P1896" s="8"/>
    </row>
    <row r="1897" ht="12.75">
      <c r="P1897" s="8"/>
    </row>
    <row r="1898" ht="12.75">
      <c r="P1898" s="8"/>
    </row>
    <row r="1899" ht="12.75">
      <c r="P1899" s="8"/>
    </row>
    <row r="1900" ht="12.75">
      <c r="P1900" s="8"/>
    </row>
    <row r="1901" ht="12.75">
      <c r="P1901" s="8"/>
    </row>
    <row r="1902" ht="12.75">
      <c r="P1902" s="8"/>
    </row>
    <row r="1903" ht="12.75">
      <c r="P1903" s="8"/>
    </row>
    <row r="1904" ht="12.75">
      <c r="P1904" s="8"/>
    </row>
    <row r="1905" ht="12.75">
      <c r="P1905" s="8"/>
    </row>
    <row r="1906" ht="12.75">
      <c r="P1906" s="8"/>
    </row>
    <row r="1907" ht="12.75">
      <c r="P1907" s="8"/>
    </row>
    <row r="1908" ht="12.75">
      <c r="P1908" s="8"/>
    </row>
    <row r="1909" ht="12.75">
      <c r="P1909" s="8"/>
    </row>
    <row r="1910" ht="12.75">
      <c r="P1910" s="8"/>
    </row>
    <row r="1911" ht="12.75">
      <c r="P1911" s="8"/>
    </row>
    <row r="1912" ht="12.75">
      <c r="P1912" s="8"/>
    </row>
    <row r="1913" ht="12.75">
      <c r="P1913" s="8"/>
    </row>
    <row r="1914" ht="12.75">
      <c r="P1914" s="8"/>
    </row>
    <row r="1915" ht="12.75">
      <c r="P1915" s="8"/>
    </row>
    <row r="1916" ht="12.75">
      <c r="P1916" s="8"/>
    </row>
    <row r="1917" ht="12.75">
      <c r="P1917" s="8"/>
    </row>
    <row r="1918" ht="12.75">
      <c r="P1918" s="8"/>
    </row>
    <row r="1919" ht="12.75">
      <c r="P1919" s="8"/>
    </row>
    <row r="1920" ht="12.75">
      <c r="P1920" s="8"/>
    </row>
    <row r="1921" ht="12.75">
      <c r="P1921" s="8"/>
    </row>
    <row r="1922" ht="12.75">
      <c r="P1922" s="8"/>
    </row>
    <row r="1923" ht="12.75">
      <c r="P1923" s="8"/>
    </row>
    <row r="1924" ht="12.75">
      <c r="P1924" s="8"/>
    </row>
    <row r="1925" ht="12.75">
      <c r="P1925" s="8"/>
    </row>
    <row r="1926" ht="12.75">
      <c r="P1926" s="8"/>
    </row>
    <row r="1927" ht="12.75">
      <c r="P1927" s="8"/>
    </row>
    <row r="1928" ht="12.75">
      <c r="P1928" s="8"/>
    </row>
    <row r="1929" ht="12.75">
      <c r="P1929" s="8"/>
    </row>
    <row r="1930" ht="12.75">
      <c r="P1930" s="8"/>
    </row>
    <row r="1931" ht="12.75">
      <c r="P1931" s="8"/>
    </row>
    <row r="1932" ht="12.75">
      <c r="P1932" s="8"/>
    </row>
    <row r="1933" ht="12.75">
      <c r="P1933" s="8"/>
    </row>
    <row r="1934" ht="12.75">
      <c r="P1934" s="8"/>
    </row>
    <row r="1935" ht="12.75">
      <c r="P1935" s="8"/>
    </row>
    <row r="1936" ht="12.75">
      <c r="P1936" s="8"/>
    </row>
    <row r="1937" ht="12.75">
      <c r="P1937" s="8"/>
    </row>
    <row r="1938" ht="12.75">
      <c r="P1938" s="8"/>
    </row>
    <row r="1939" ht="12.75">
      <c r="P1939" s="8"/>
    </row>
    <row r="1940" ht="12.75">
      <c r="P1940" s="8"/>
    </row>
    <row r="1941" ht="12.75">
      <c r="P1941" s="8"/>
    </row>
    <row r="1942" ht="12.75">
      <c r="P1942" s="8"/>
    </row>
    <row r="1943" ht="12.75">
      <c r="P1943" s="8"/>
    </row>
    <row r="1944" ht="12.75">
      <c r="P1944" s="8"/>
    </row>
    <row r="1945" ht="12.75">
      <c r="P1945" s="8"/>
    </row>
    <row r="1946" ht="12.75">
      <c r="P1946" s="8"/>
    </row>
    <row r="1947" ht="12.75">
      <c r="P1947" s="8"/>
    </row>
    <row r="1948" ht="12.75">
      <c r="P1948" s="8"/>
    </row>
    <row r="1949" ht="12.75">
      <c r="P1949" s="8"/>
    </row>
    <row r="1950" ht="12.75">
      <c r="P1950" s="8"/>
    </row>
    <row r="1951" ht="12.75">
      <c r="P1951" s="8"/>
    </row>
    <row r="1952" ht="12.75">
      <c r="P1952" s="8"/>
    </row>
    <row r="1953" ht="12.75">
      <c r="P1953" s="8"/>
    </row>
    <row r="1954" ht="12.75">
      <c r="P1954" s="8"/>
    </row>
    <row r="1955" ht="12.75">
      <c r="P1955" s="8"/>
    </row>
    <row r="1956" ht="12.75">
      <c r="P1956" s="8"/>
    </row>
    <row r="1957" ht="12.75">
      <c r="P1957" s="8"/>
    </row>
    <row r="1958" ht="12.75">
      <c r="P1958" s="8"/>
    </row>
    <row r="1959" ht="12.75">
      <c r="P1959" s="8"/>
    </row>
    <row r="1960" ht="12.75">
      <c r="P1960" s="8"/>
    </row>
    <row r="1961" ht="12.75">
      <c r="P1961" s="8"/>
    </row>
    <row r="1962" ht="12.75">
      <c r="P1962" s="8"/>
    </row>
    <row r="1963" ht="12.75">
      <c r="P1963" s="8"/>
    </row>
    <row r="1964" ht="12.75">
      <c r="P1964" s="8"/>
    </row>
    <row r="1965" ht="12.75">
      <c r="P1965" s="8"/>
    </row>
    <row r="1966" ht="12.75">
      <c r="P1966" s="8"/>
    </row>
    <row r="1967" ht="12.75">
      <c r="P1967" s="8"/>
    </row>
    <row r="1968" ht="12.75">
      <c r="P1968" s="8"/>
    </row>
    <row r="1969" ht="12.75">
      <c r="P1969" s="8"/>
    </row>
    <row r="1970" ht="12.75">
      <c r="P1970" s="8"/>
    </row>
    <row r="1971" ht="12.75">
      <c r="P1971" s="8"/>
    </row>
    <row r="1972" ht="12.75">
      <c r="P1972" s="8"/>
    </row>
    <row r="1973" ht="12.75">
      <c r="P1973" s="8"/>
    </row>
    <row r="1974" ht="12.75">
      <c r="P1974" s="8"/>
    </row>
    <row r="1975" ht="12.75">
      <c r="P1975" s="8"/>
    </row>
    <row r="1976" ht="12.75">
      <c r="P1976" s="8"/>
    </row>
    <row r="1977" ht="12.75">
      <c r="P1977" s="8"/>
    </row>
    <row r="1978" ht="12.75">
      <c r="P1978" s="8"/>
    </row>
    <row r="1979" ht="12.75">
      <c r="P1979" s="8"/>
    </row>
    <row r="1980" ht="12.75">
      <c r="P1980" s="8"/>
    </row>
    <row r="1981" ht="12.75">
      <c r="P1981" s="8"/>
    </row>
    <row r="1982" ht="12.75">
      <c r="P1982" s="8"/>
    </row>
    <row r="1983" ht="12.75">
      <c r="P1983" s="8"/>
    </row>
    <row r="1984" ht="12.75">
      <c r="P1984" s="8"/>
    </row>
    <row r="1985" ht="12.75">
      <c r="P1985" s="8"/>
    </row>
    <row r="1986" ht="12.75">
      <c r="P1986" s="8"/>
    </row>
    <row r="1987" ht="12.75">
      <c r="P1987" s="8"/>
    </row>
    <row r="1988" ht="12.75">
      <c r="P1988" s="8"/>
    </row>
    <row r="1989" ht="12.75">
      <c r="P1989" s="8"/>
    </row>
    <row r="1990" ht="12.75">
      <c r="P1990" s="8"/>
    </row>
    <row r="1991" ht="12.75">
      <c r="P1991" s="8"/>
    </row>
    <row r="1992" ht="12.75">
      <c r="P1992" s="8"/>
    </row>
    <row r="1993" ht="12.75">
      <c r="P1993" s="8"/>
    </row>
    <row r="1994" ht="12.75">
      <c r="P1994" s="8"/>
    </row>
    <row r="1995" ht="12.75">
      <c r="P1995" s="8"/>
    </row>
    <row r="1996" ht="12.75">
      <c r="P1996" s="8"/>
    </row>
    <row r="1997" ht="12.75">
      <c r="P1997" s="8"/>
    </row>
    <row r="1998" ht="12.75">
      <c r="P1998" s="8"/>
    </row>
    <row r="1999" ht="12.75">
      <c r="P1999" s="8"/>
    </row>
    <row r="2000" ht="12.75">
      <c r="P2000" s="8"/>
    </row>
    <row r="2001" ht="12.75">
      <c r="P2001" s="8"/>
    </row>
    <row r="2002" ht="12.75">
      <c r="P2002" s="8"/>
    </row>
    <row r="2003" ht="12.75">
      <c r="P2003" s="8"/>
    </row>
    <row r="2004" ht="12.75">
      <c r="P2004" s="8"/>
    </row>
    <row r="2005" ht="12.75">
      <c r="P2005" s="8"/>
    </row>
    <row r="2006" ht="12.75">
      <c r="P2006" s="8"/>
    </row>
    <row r="2007" ht="12.75">
      <c r="P2007" s="8"/>
    </row>
    <row r="2008" ht="12.75">
      <c r="P2008" s="8"/>
    </row>
    <row r="2009" ht="12.75">
      <c r="P2009" s="8"/>
    </row>
    <row r="2010" ht="12.75">
      <c r="P2010" s="8"/>
    </row>
    <row r="2011" ht="12.75">
      <c r="P2011" s="8"/>
    </row>
    <row r="2012" ht="12.75">
      <c r="P2012" s="8"/>
    </row>
    <row r="2013" ht="12.75">
      <c r="P2013" s="8"/>
    </row>
    <row r="2014" ht="12.75">
      <c r="P2014" s="8"/>
    </row>
    <row r="2015" ht="12.75">
      <c r="P2015" s="8"/>
    </row>
    <row r="2016" ht="12.75">
      <c r="P2016" s="8"/>
    </row>
    <row r="2017" ht="12.75">
      <c r="P2017" s="8"/>
    </row>
    <row r="2018" ht="12.75">
      <c r="P2018" s="8"/>
    </row>
    <row r="2019" ht="12.75">
      <c r="P2019" s="8"/>
    </row>
    <row r="2020" ht="12.75">
      <c r="P2020" s="8"/>
    </row>
    <row r="2021" ht="12.75">
      <c r="P2021" s="8"/>
    </row>
    <row r="2022" ht="12.75">
      <c r="P2022" s="8"/>
    </row>
    <row r="2023" ht="12.75">
      <c r="P2023" s="8"/>
    </row>
    <row r="2024" ht="12.75">
      <c r="P2024" s="8"/>
    </row>
    <row r="2025" ht="12.75">
      <c r="P2025" s="8"/>
    </row>
    <row r="2026" ht="12.75">
      <c r="P2026" s="8"/>
    </row>
    <row r="2027" ht="12.75">
      <c r="P2027" s="8"/>
    </row>
    <row r="2028" ht="12.75">
      <c r="P2028" s="8"/>
    </row>
    <row r="2029" ht="12.75">
      <c r="P2029" s="8"/>
    </row>
    <row r="2030" ht="12.75">
      <c r="P2030" s="8"/>
    </row>
    <row r="2031" ht="12.75">
      <c r="P2031" s="8"/>
    </row>
    <row r="2032" ht="12.75">
      <c r="P2032" s="8"/>
    </row>
    <row r="2033" ht="12.75">
      <c r="P2033" s="8"/>
    </row>
    <row r="2034" ht="12.75">
      <c r="P2034" s="8"/>
    </row>
    <row r="2035" ht="12.75">
      <c r="P2035" s="8"/>
    </row>
    <row r="2036" ht="12.75">
      <c r="P2036" s="8"/>
    </row>
    <row r="2037" ht="12.75">
      <c r="P2037" s="8"/>
    </row>
    <row r="2038" ht="12.75">
      <c r="P2038" s="8"/>
    </row>
    <row r="2039" ht="12.75">
      <c r="P2039" s="8"/>
    </row>
    <row r="2040" ht="12.75">
      <c r="P2040" s="8"/>
    </row>
    <row r="2041" ht="12.75">
      <c r="P2041" s="8"/>
    </row>
    <row r="2042" ht="12.75">
      <c r="P2042" s="8"/>
    </row>
    <row r="2043" ht="12.75">
      <c r="P2043" s="8"/>
    </row>
    <row r="2044" ht="12.75">
      <c r="P2044" s="8"/>
    </row>
    <row r="2045" ht="12.75">
      <c r="P2045" s="8"/>
    </row>
    <row r="2046" ht="12.75">
      <c r="P2046" s="8"/>
    </row>
    <row r="2047" ht="12.75">
      <c r="P2047" s="8"/>
    </row>
    <row r="2048" ht="12.75">
      <c r="P2048" s="8"/>
    </row>
    <row r="2049" ht="12.75">
      <c r="P2049" s="8"/>
    </row>
    <row r="2050" ht="12.75">
      <c r="P2050" s="8"/>
    </row>
    <row r="2051" ht="12.75">
      <c r="P2051" s="8"/>
    </row>
    <row r="2052" ht="12.75">
      <c r="P2052" s="8"/>
    </row>
    <row r="2053" ht="12.75">
      <c r="P2053" s="8"/>
    </row>
    <row r="2054" ht="12.75">
      <c r="P2054" s="8"/>
    </row>
    <row r="2055" ht="12.75">
      <c r="P2055" s="8"/>
    </row>
    <row r="2056" ht="12.75">
      <c r="P2056" s="8"/>
    </row>
    <row r="2057" ht="12.75">
      <c r="P2057" s="8"/>
    </row>
    <row r="2058" ht="12.75">
      <c r="P2058" s="8"/>
    </row>
    <row r="2059" ht="12.75">
      <c r="P2059" s="8"/>
    </row>
    <row r="2060" ht="12.75">
      <c r="P2060" s="8"/>
    </row>
    <row r="2061" ht="12.75">
      <c r="P2061" s="8"/>
    </row>
    <row r="2062" ht="12.75">
      <c r="P2062" s="8"/>
    </row>
    <row r="2063" ht="12.75">
      <c r="P2063" s="8"/>
    </row>
    <row r="2064" ht="12.75">
      <c r="P2064" s="8"/>
    </row>
    <row r="2065" ht="12.75">
      <c r="P2065" s="8"/>
    </row>
    <row r="2066" ht="12.75">
      <c r="P2066" s="8"/>
    </row>
    <row r="2067" ht="12.75">
      <c r="P2067" s="8"/>
    </row>
    <row r="2068" ht="12.75">
      <c r="P2068" s="8"/>
    </row>
    <row r="2069" ht="12.75">
      <c r="P2069" s="8"/>
    </row>
    <row r="2070" ht="12.75">
      <c r="P2070" s="8"/>
    </row>
    <row r="2071" ht="12.75">
      <c r="P2071" s="8"/>
    </row>
    <row r="2072" ht="12.75">
      <c r="P2072" s="8"/>
    </row>
    <row r="2073" ht="12.75">
      <c r="P2073" s="8"/>
    </row>
    <row r="2074" ht="12.75">
      <c r="P2074" s="8"/>
    </row>
    <row r="2075" ht="12.75">
      <c r="P2075" s="8"/>
    </row>
    <row r="2076" ht="12.75">
      <c r="P2076" s="8"/>
    </row>
    <row r="2077" ht="12.75">
      <c r="P2077" s="8"/>
    </row>
    <row r="2078" ht="12.75">
      <c r="P2078" s="8"/>
    </row>
    <row r="2079" ht="12.75">
      <c r="P2079" s="8"/>
    </row>
    <row r="2080" ht="12.75">
      <c r="P2080" s="8"/>
    </row>
    <row r="2081" ht="12.75">
      <c r="P2081" s="8"/>
    </row>
    <row r="2082" ht="12.75">
      <c r="P2082" s="8"/>
    </row>
    <row r="2083" ht="12.75">
      <c r="P2083" s="8"/>
    </row>
    <row r="2084" ht="12.75">
      <c r="P2084" s="8"/>
    </row>
    <row r="2085" ht="12.75">
      <c r="P2085" s="8"/>
    </row>
    <row r="2086" ht="12.75">
      <c r="P2086" s="8"/>
    </row>
    <row r="2087" ht="12.75">
      <c r="P2087" s="8"/>
    </row>
    <row r="2088" ht="12.75">
      <c r="P2088" s="8"/>
    </row>
    <row r="2089" ht="12.75">
      <c r="P2089" s="8"/>
    </row>
    <row r="2090" ht="12.75">
      <c r="P2090" s="8"/>
    </row>
    <row r="2091" ht="12.75">
      <c r="P2091" s="8"/>
    </row>
    <row r="2092" ht="12.75">
      <c r="P2092" s="8"/>
    </row>
    <row r="2093" ht="12.75">
      <c r="P2093" s="8"/>
    </row>
    <row r="2094" ht="12.75">
      <c r="P2094" s="8"/>
    </row>
    <row r="2095" ht="12.75">
      <c r="P2095" s="8"/>
    </row>
    <row r="2096" ht="12.75">
      <c r="P2096" s="8"/>
    </row>
    <row r="2097" ht="12.75">
      <c r="P2097" s="8"/>
    </row>
    <row r="2098" ht="12.75">
      <c r="P2098" s="8"/>
    </row>
    <row r="2099" ht="12.75">
      <c r="P2099" s="8"/>
    </row>
    <row r="2100" ht="12.75">
      <c r="P2100" s="8"/>
    </row>
    <row r="2101" ht="12.75">
      <c r="P2101" s="8"/>
    </row>
    <row r="2102" ht="12.75">
      <c r="P2102" s="8"/>
    </row>
    <row r="2103" ht="12.75">
      <c r="P2103" s="8"/>
    </row>
    <row r="2104" ht="12.75">
      <c r="P2104" s="8"/>
    </row>
    <row r="2105" ht="12.75">
      <c r="P2105" s="8"/>
    </row>
    <row r="2106" ht="12.75">
      <c r="P2106" s="8"/>
    </row>
    <row r="2107" ht="12.75">
      <c r="P2107" s="8"/>
    </row>
    <row r="2108" ht="12.75">
      <c r="P2108" s="8"/>
    </row>
    <row r="2109" ht="12.75">
      <c r="P2109" s="8"/>
    </row>
    <row r="2110" ht="12.75">
      <c r="P2110" s="8"/>
    </row>
    <row r="2111" ht="12.75">
      <c r="P2111" s="8"/>
    </row>
    <row r="2112" ht="12.75">
      <c r="P2112" s="8"/>
    </row>
    <row r="2113" ht="12.75">
      <c r="P2113" s="8"/>
    </row>
    <row r="2114" ht="12.75">
      <c r="P2114" s="8"/>
    </row>
    <row r="2115" ht="12.75">
      <c r="P2115" s="8"/>
    </row>
    <row r="2116" ht="12.75">
      <c r="P2116" s="8"/>
    </row>
    <row r="2117" ht="12.75">
      <c r="P2117" s="8"/>
    </row>
    <row r="2118" ht="12.75">
      <c r="P2118" s="8"/>
    </row>
    <row r="2119" ht="12.75">
      <c r="P2119" s="8"/>
    </row>
    <row r="2120" ht="12.75">
      <c r="P2120" s="8"/>
    </row>
    <row r="2121" ht="12.75">
      <c r="P2121" s="8"/>
    </row>
    <row r="2122" ht="12.75">
      <c r="P2122" s="8"/>
    </row>
    <row r="2123" ht="12.75">
      <c r="P2123" s="8"/>
    </row>
    <row r="2124" ht="12.75">
      <c r="P2124" s="8"/>
    </row>
    <row r="2125" ht="12.75">
      <c r="P2125" s="8"/>
    </row>
    <row r="2126" ht="12.75">
      <c r="P2126" s="8"/>
    </row>
    <row r="2127" ht="12.75">
      <c r="P2127" s="8"/>
    </row>
    <row r="2128" ht="12.75">
      <c r="P2128" s="8"/>
    </row>
    <row r="2129" ht="12.75">
      <c r="P2129" s="8"/>
    </row>
    <row r="2130" ht="12.75">
      <c r="P2130" s="8"/>
    </row>
    <row r="2131" ht="12.75">
      <c r="P2131" s="8"/>
    </row>
    <row r="2132" ht="12.75">
      <c r="P2132" s="8"/>
    </row>
    <row r="2133" ht="12.75">
      <c r="P2133" s="8"/>
    </row>
    <row r="2134" ht="12.75">
      <c r="P2134" s="8"/>
    </row>
    <row r="2135" ht="12.75">
      <c r="P2135" s="8"/>
    </row>
    <row r="2136" ht="12.75">
      <c r="P2136" s="8"/>
    </row>
    <row r="2137" ht="12.75">
      <c r="P2137" s="8"/>
    </row>
    <row r="2138" ht="12.75">
      <c r="P2138" s="8"/>
    </row>
    <row r="2139" ht="12.75">
      <c r="P2139" s="8"/>
    </row>
    <row r="2140" ht="12.75">
      <c r="P2140" s="8"/>
    </row>
    <row r="2141" ht="12.75">
      <c r="P2141" s="8"/>
    </row>
    <row r="2142" ht="12.75">
      <c r="P2142" s="8"/>
    </row>
    <row r="2143" ht="12.75">
      <c r="P2143" s="8"/>
    </row>
    <row r="2144" ht="12.75">
      <c r="P2144" s="8"/>
    </row>
    <row r="2145" ht="12.75">
      <c r="P2145" s="8"/>
    </row>
    <row r="2146" ht="12.75">
      <c r="P2146" s="8"/>
    </row>
    <row r="2147" ht="12.75">
      <c r="P2147" s="8"/>
    </row>
    <row r="2148" ht="12.75">
      <c r="P2148" s="8"/>
    </row>
    <row r="2149" ht="12.75">
      <c r="P2149" s="8"/>
    </row>
    <row r="2150" ht="12.75">
      <c r="P2150" s="8"/>
    </row>
    <row r="2151" ht="12.75">
      <c r="P2151" s="8"/>
    </row>
    <row r="2152" ht="12.75">
      <c r="P2152" s="8"/>
    </row>
    <row r="2153" ht="12.75">
      <c r="P2153" s="8"/>
    </row>
    <row r="2154" ht="12.75">
      <c r="P2154" s="8"/>
    </row>
    <row r="2155" ht="12.75">
      <c r="P2155" s="8"/>
    </row>
    <row r="2156" ht="12.75">
      <c r="P2156" s="8"/>
    </row>
    <row r="2157" ht="12.75">
      <c r="P2157" s="8"/>
    </row>
    <row r="2158" ht="12.75">
      <c r="P2158" s="8"/>
    </row>
    <row r="2159" ht="12.75">
      <c r="P2159" s="8"/>
    </row>
    <row r="2160" ht="12.75">
      <c r="P2160" s="8"/>
    </row>
    <row r="2161" ht="12.75">
      <c r="P2161" s="8"/>
    </row>
    <row r="2162" ht="12.75">
      <c r="P2162" s="8"/>
    </row>
    <row r="2163" ht="12.75">
      <c r="P2163" s="8"/>
    </row>
    <row r="2164" ht="12.75">
      <c r="P2164" s="8"/>
    </row>
    <row r="2165" ht="12.75">
      <c r="P2165" s="8"/>
    </row>
    <row r="2166" ht="12.75">
      <c r="P2166" s="8"/>
    </row>
    <row r="2167" ht="12.75">
      <c r="P2167" s="8"/>
    </row>
    <row r="2168" ht="12.75">
      <c r="P2168" s="8"/>
    </row>
    <row r="2169" ht="12.75">
      <c r="P2169" s="8"/>
    </row>
    <row r="2170" ht="12.75">
      <c r="P2170" s="8"/>
    </row>
    <row r="2171" ht="12.75">
      <c r="P2171" s="8"/>
    </row>
    <row r="2172" ht="12.75">
      <c r="P2172" s="8"/>
    </row>
    <row r="2173" ht="12.75">
      <c r="P2173" s="8"/>
    </row>
    <row r="2174" ht="12.75">
      <c r="P2174" s="8"/>
    </row>
    <row r="2175" ht="12.75">
      <c r="P2175" s="8"/>
    </row>
    <row r="2176" ht="12.75">
      <c r="P2176" s="8"/>
    </row>
    <row r="2177" ht="12.75">
      <c r="P2177" s="8"/>
    </row>
    <row r="2178" ht="12.75">
      <c r="P2178" s="8"/>
    </row>
    <row r="2179" ht="12.75">
      <c r="P2179" s="8"/>
    </row>
    <row r="2180" ht="12.75">
      <c r="P2180" s="8"/>
    </row>
    <row r="2181" ht="12.75">
      <c r="P2181" s="8"/>
    </row>
    <row r="2182" ht="12.75">
      <c r="P2182" s="8"/>
    </row>
    <row r="2183" ht="12.75">
      <c r="P2183" s="8"/>
    </row>
    <row r="2184" ht="12.75">
      <c r="P2184" s="8"/>
    </row>
    <row r="2185" ht="12.75">
      <c r="P2185" s="8"/>
    </row>
    <row r="2186" ht="12.75">
      <c r="P2186" s="8"/>
    </row>
    <row r="2187" ht="12.75">
      <c r="P2187" s="8"/>
    </row>
    <row r="2188" ht="12.75">
      <c r="P2188" s="8"/>
    </row>
    <row r="2189" ht="12.75">
      <c r="P2189" s="8"/>
    </row>
    <row r="2190" ht="12.75">
      <c r="P2190" s="8"/>
    </row>
    <row r="2191" ht="12.75">
      <c r="P2191" s="8"/>
    </row>
    <row r="2192" ht="12.75">
      <c r="P2192" s="8"/>
    </row>
    <row r="2193" ht="12.75">
      <c r="P2193" s="8"/>
    </row>
    <row r="2194" ht="12.75">
      <c r="P2194" s="8"/>
    </row>
    <row r="2195" ht="12.75">
      <c r="P2195" s="8"/>
    </row>
    <row r="2196" ht="12.75">
      <c r="P2196" s="8"/>
    </row>
    <row r="2197" ht="12.75">
      <c r="P2197" s="8"/>
    </row>
    <row r="2198" ht="12.75">
      <c r="P2198" s="8"/>
    </row>
    <row r="2199" ht="12.75">
      <c r="P2199" s="8"/>
    </row>
    <row r="2200" ht="12.75">
      <c r="P2200" s="8"/>
    </row>
    <row r="2201" ht="12.75">
      <c r="P2201" s="8"/>
    </row>
    <row r="2202" ht="12.75">
      <c r="P2202" s="8"/>
    </row>
    <row r="2203" ht="12.75">
      <c r="P2203" s="8"/>
    </row>
    <row r="2204" ht="12.75">
      <c r="P2204" s="8"/>
    </row>
    <row r="2205" ht="12.75">
      <c r="P2205" s="8"/>
    </row>
    <row r="2206" ht="12.75">
      <c r="P2206" s="8"/>
    </row>
    <row r="2207" ht="12.75">
      <c r="P2207" s="8"/>
    </row>
    <row r="2208" ht="12.75">
      <c r="P2208" s="8"/>
    </row>
    <row r="2209" ht="12.75">
      <c r="P2209" s="8"/>
    </row>
    <row r="2210" ht="12.75">
      <c r="P2210" s="8"/>
    </row>
    <row r="2211" ht="12.75">
      <c r="P2211" s="8"/>
    </row>
    <row r="2212" ht="12.75">
      <c r="P2212" s="8"/>
    </row>
    <row r="2213" ht="12.75">
      <c r="P2213" s="8"/>
    </row>
    <row r="2214" ht="12.75">
      <c r="P2214" s="8"/>
    </row>
    <row r="2215" ht="12.75">
      <c r="P2215" s="8"/>
    </row>
    <row r="2216" ht="12.75">
      <c r="P2216" s="8"/>
    </row>
    <row r="2217" ht="12.75">
      <c r="P2217" s="8"/>
    </row>
    <row r="2218" ht="12.75">
      <c r="P2218" s="8"/>
    </row>
    <row r="2219" ht="12.75">
      <c r="P2219" s="8"/>
    </row>
    <row r="2220" ht="12.75">
      <c r="P2220" s="8"/>
    </row>
    <row r="2221" ht="12.75">
      <c r="P2221" s="8"/>
    </row>
    <row r="2222" ht="12.75">
      <c r="P2222" s="8"/>
    </row>
    <row r="2223" ht="12.75">
      <c r="P2223" s="8"/>
    </row>
    <row r="2224" ht="12.75">
      <c r="P2224" s="8"/>
    </row>
    <row r="2225" ht="12.75">
      <c r="P2225" s="8"/>
    </row>
    <row r="2226" ht="12.75">
      <c r="P2226" s="8"/>
    </row>
    <row r="2227" ht="12.75">
      <c r="P2227" s="8"/>
    </row>
    <row r="2228" ht="12.75">
      <c r="P2228" s="8"/>
    </row>
    <row r="2229" ht="12.75">
      <c r="P2229" s="8"/>
    </row>
    <row r="2230" ht="12.75">
      <c r="P2230" s="8"/>
    </row>
    <row r="2231" ht="12.75">
      <c r="P2231" s="8"/>
    </row>
    <row r="2232" ht="12.75">
      <c r="P2232" s="8"/>
    </row>
    <row r="2233" ht="12.75">
      <c r="P2233" s="8"/>
    </row>
    <row r="2234" ht="12.75">
      <c r="P2234" s="8"/>
    </row>
    <row r="2235" ht="12.75">
      <c r="P2235" s="8"/>
    </row>
    <row r="2236" ht="12.75">
      <c r="P2236" s="8"/>
    </row>
    <row r="2237" ht="12.75">
      <c r="P2237" s="8"/>
    </row>
    <row r="2238" ht="12.75">
      <c r="P2238" s="8"/>
    </row>
    <row r="2239" ht="12.75">
      <c r="P2239" s="8"/>
    </row>
    <row r="2240" ht="12.75">
      <c r="P2240" s="8"/>
    </row>
    <row r="2241" ht="12.75">
      <c r="P2241" s="8"/>
    </row>
    <row r="2242" ht="12.75">
      <c r="P2242" s="8"/>
    </row>
    <row r="2243" ht="12.75">
      <c r="P2243" s="8"/>
    </row>
    <row r="2244" ht="12.75">
      <c r="P2244" s="8"/>
    </row>
    <row r="2245" ht="12.75">
      <c r="P2245" s="8"/>
    </row>
    <row r="2246" ht="12.75">
      <c r="P2246" s="8"/>
    </row>
    <row r="2247" ht="12.75">
      <c r="P2247" s="8"/>
    </row>
    <row r="2248" ht="12.75">
      <c r="P2248" s="8"/>
    </row>
    <row r="2249" ht="12.75">
      <c r="P2249" s="8"/>
    </row>
    <row r="2250" ht="12.75">
      <c r="P2250" s="8"/>
    </row>
    <row r="2251" ht="12.75">
      <c r="P2251" s="8"/>
    </row>
    <row r="2252" ht="12.75">
      <c r="P2252" s="8"/>
    </row>
    <row r="2253" ht="12.75">
      <c r="P2253" s="8"/>
    </row>
    <row r="2254" ht="12.75">
      <c r="P2254" s="8"/>
    </row>
    <row r="2255" ht="12.75">
      <c r="P2255" s="8"/>
    </row>
    <row r="2256" ht="12.75">
      <c r="P2256" s="8"/>
    </row>
    <row r="2257" ht="12.75">
      <c r="P2257" s="8"/>
    </row>
    <row r="2258" ht="12.75">
      <c r="P2258" s="8"/>
    </row>
    <row r="2259" ht="12.75">
      <c r="P2259" s="8"/>
    </row>
    <row r="2260" ht="12.75">
      <c r="P2260" s="8"/>
    </row>
    <row r="2261" ht="12.75">
      <c r="P2261" s="8"/>
    </row>
    <row r="2262" ht="12.75">
      <c r="P2262" s="8"/>
    </row>
    <row r="2263" ht="12.75">
      <c r="P2263" s="8"/>
    </row>
    <row r="2264" ht="12.75">
      <c r="P2264" s="8"/>
    </row>
    <row r="2265" ht="12.75">
      <c r="P2265" s="8"/>
    </row>
    <row r="2266" ht="12.75">
      <c r="P2266" s="8"/>
    </row>
    <row r="2267" ht="12.75">
      <c r="P2267" s="8"/>
    </row>
    <row r="2268" ht="12.75">
      <c r="P2268" s="8"/>
    </row>
    <row r="2269" ht="12.75">
      <c r="P2269" s="8"/>
    </row>
    <row r="2270" ht="12.75">
      <c r="P2270" s="8"/>
    </row>
    <row r="2271" ht="12.75">
      <c r="P2271" s="8"/>
    </row>
    <row r="2272" ht="12.75">
      <c r="P2272" s="8"/>
    </row>
    <row r="2273" ht="12.75">
      <c r="P2273" s="8"/>
    </row>
    <row r="2274" ht="12.75">
      <c r="P2274" s="8"/>
    </row>
    <row r="2275" ht="12.75">
      <c r="P2275" s="8"/>
    </row>
    <row r="2276" ht="12.75">
      <c r="P2276" s="8"/>
    </row>
    <row r="2277" ht="12.75">
      <c r="P2277" s="8"/>
    </row>
    <row r="2278" ht="12.75">
      <c r="P2278" s="8"/>
    </row>
    <row r="2279" ht="12.75">
      <c r="P2279" s="8"/>
    </row>
    <row r="2280" ht="12.75">
      <c r="P2280" s="8"/>
    </row>
    <row r="2281" ht="12.75">
      <c r="P2281" s="8"/>
    </row>
    <row r="2282" ht="12.75">
      <c r="P2282" s="8"/>
    </row>
    <row r="2283" ht="12.75">
      <c r="P2283" s="8"/>
    </row>
    <row r="2284" ht="12.75">
      <c r="P2284" s="8"/>
    </row>
    <row r="2285" ht="12.75">
      <c r="P2285" s="8"/>
    </row>
    <row r="2286" ht="12.75">
      <c r="P2286" s="8"/>
    </row>
    <row r="2287" ht="12.75">
      <c r="P2287" s="8"/>
    </row>
    <row r="2288" ht="12.75">
      <c r="P2288" s="8"/>
    </row>
    <row r="2289" ht="12.75">
      <c r="P2289" s="8"/>
    </row>
    <row r="2290" ht="12.75">
      <c r="P2290" s="8"/>
    </row>
    <row r="2291" ht="12.75">
      <c r="P2291" s="8"/>
    </row>
    <row r="2292" ht="12.75">
      <c r="P2292" s="8"/>
    </row>
    <row r="2293" ht="12.75">
      <c r="P2293" s="8"/>
    </row>
    <row r="2294" ht="12.75">
      <c r="P2294" s="8"/>
    </row>
    <row r="2295" ht="12.75">
      <c r="P2295" s="8"/>
    </row>
    <row r="2296" ht="12.75">
      <c r="P2296" s="8"/>
    </row>
    <row r="2297" ht="12.75">
      <c r="P2297" s="8"/>
    </row>
    <row r="2298" ht="12.75">
      <c r="P2298" s="8"/>
    </row>
    <row r="2299" ht="12.75">
      <c r="P2299" s="8"/>
    </row>
    <row r="2300" ht="12.75">
      <c r="P2300" s="8"/>
    </row>
    <row r="2301" ht="12.75">
      <c r="P2301" s="8"/>
    </row>
    <row r="2302" ht="12.75">
      <c r="P2302" s="8"/>
    </row>
    <row r="2303" ht="12.75">
      <c r="P2303" s="8"/>
    </row>
    <row r="2304" ht="12.75">
      <c r="P2304" s="8"/>
    </row>
    <row r="2305" ht="12.75">
      <c r="P2305" s="8"/>
    </row>
    <row r="2306" ht="12.75">
      <c r="P2306" s="8"/>
    </row>
    <row r="2307" ht="12.75">
      <c r="P2307" s="8"/>
    </row>
    <row r="2308" ht="12.75">
      <c r="P2308" s="8"/>
    </row>
    <row r="2309" ht="12.75">
      <c r="P2309" s="8"/>
    </row>
    <row r="2310" ht="12.75">
      <c r="P2310" s="8"/>
    </row>
    <row r="2311" ht="12.75">
      <c r="P2311" s="8"/>
    </row>
    <row r="2312" ht="12.75">
      <c r="P2312" s="8"/>
    </row>
    <row r="2313" ht="12.75">
      <c r="P2313" s="8"/>
    </row>
    <row r="2314" ht="12.75">
      <c r="P2314" s="8"/>
    </row>
    <row r="2315" ht="12.75">
      <c r="P2315" s="8"/>
    </row>
    <row r="2316" ht="12.75">
      <c r="P2316" s="8"/>
    </row>
    <row r="2317" ht="12.75">
      <c r="P2317" s="8"/>
    </row>
    <row r="2318" ht="12.75">
      <c r="P2318" s="8"/>
    </row>
    <row r="2319" ht="12.75">
      <c r="P2319" s="8"/>
    </row>
    <row r="2320" ht="12.75">
      <c r="P2320" s="8"/>
    </row>
    <row r="2321" ht="12.75">
      <c r="P2321" s="8"/>
    </row>
    <row r="2322" ht="12.75">
      <c r="P2322" s="8"/>
    </row>
    <row r="2323" ht="12.75">
      <c r="P2323" s="8"/>
    </row>
    <row r="2324" ht="12.75">
      <c r="P2324" s="8"/>
    </row>
    <row r="2325" ht="12.75">
      <c r="P2325" s="8"/>
    </row>
    <row r="2326" ht="12.75">
      <c r="P2326" s="8"/>
    </row>
    <row r="2327" ht="12.75">
      <c r="P2327" s="8"/>
    </row>
    <row r="2328" ht="12.75">
      <c r="P2328" s="8"/>
    </row>
    <row r="2329" ht="12.75">
      <c r="P2329" s="8"/>
    </row>
    <row r="2330" ht="12.75">
      <c r="P2330" s="8"/>
    </row>
    <row r="2331" ht="12.75">
      <c r="P2331" s="8"/>
    </row>
    <row r="2332" ht="12.75">
      <c r="P2332" s="8"/>
    </row>
    <row r="2333" ht="12.75">
      <c r="P2333" s="8"/>
    </row>
    <row r="2334" ht="12.75">
      <c r="P2334" s="8"/>
    </row>
    <row r="2335" ht="12.75">
      <c r="P2335" s="8"/>
    </row>
    <row r="2336" ht="12.75">
      <c r="P2336" s="8"/>
    </row>
    <row r="2337" ht="12.75">
      <c r="P2337" s="8"/>
    </row>
    <row r="2338" ht="12.75">
      <c r="P2338" s="8"/>
    </row>
    <row r="2339" ht="12.75">
      <c r="P2339" s="8"/>
    </row>
    <row r="2340" ht="12.75">
      <c r="P2340" s="8"/>
    </row>
    <row r="2341" ht="12.75">
      <c r="P2341" s="8"/>
    </row>
    <row r="2342" ht="12.75">
      <c r="P2342" s="8"/>
    </row>
    <row r="2343" ht="12.75">
      <c r="P2343" s="8"/>
    </row>
    <row r="2344" ht="12.75">
      <c r="P2344" s="8"/>
    </row>
    <row r="2345" ht="12.75">
      <c r="P2345" s="8"/>
    </row>
    <row r="2346" ht="12.75">
      <c r="P2346" s="8"/>
    </row>
    <row r="2347" ht="12.75">
      <c r="P2347" s="8"/>
    </row>
    <row r="2348" ht="12.75">
      <c r="P2348" s="8"/>
    </row>
    <row r="2349" ht="12.75">
      <c r="P2349" s="8"/>
    </row>
    <row r="2350" ht="12.75">
      <c r="P2350" s="8"/>
    </row>
    <row r="2351" ht="12.75">
      <c r="P2351" s="8"/>
    </row>
    <row r="2352" ht="12.75">
      <c r="P2352" s="8"/>
    </row>
    <row r="2353" ht="12.75">
      <c r="P2353" s="8"/>
    </row>
    <row r="2354" ht="12.75">
      <c r="P2354" s="8"/>
    </row>
    <row r="2355" ht="12.75">
      <c r="P2355" s="8"/>
    </row>
    <row r="2356" ht="12.75">
      <c r="P2356" s="8"/>
    </row>
    <row r="2357" ht="12.75">
      <c r="P2357" s="8"/>
    </row>
    <row r="2358" ht="12.75">
      <c r="P2358" s="8"/>
    </row>
    <row r="2359" ht="12.75">
      <c r="P2359" s="8"/>
    </row>
    <row r="2360" ht="12.75">
      <c r="P2360" s="8"/>
    </row>
    <row r="2361" ht="12.75">
      <c r="P2361" s="8"/>
    </row>
    <row r="2362" ht="12.75">
      <c r="P2362" s="8"/>
    </row>
    <row r="2363" ht="12.75">
      <c r="P2363" s="8"/>
    </row>
    <row r="2364" ht="12.75">
      <c r="P2364" s="8"/>
    </row>
    <row r="2365" ht="12.75">
      <c r="P2365" s="8"/>
    </row>
    <row r="2366" ht="12.75">
      <c r="P2366" s="8"/>
    </row>
    <row r="2367" ht="12.75">
      <c r="P2367" s="8"/>
    </row>
    <row r="2368" ht="12.75">
      <c r="P2368" s="8"/>
    </row>
    <row r="2369" ht="12.75">
      <c r="P2369" s="8"/>
    </row>
    <row r="2370" ht="12.75">
      <c r="P2370" s="8"/>
    </row>
    <row r="2371" ht="12.75">
      <c r="P2371" s="8"/>
    </row>
    <row r="2372" ht="12.75">
      <c r="P2372" s="8"/>
    </row>
    <row r="2373" ht="12.75">
      <c r="P2373" s="8"/>
    </row>
    <row r="2374" ht="12.75">
      <c r="P2374" s="8"/>
    </row>
    <row r="2375" ht="12.75">
      <c r="P2375" s="8"/>
    </row>
    <row r="2376" ht="12.75">
      <c r="P2376" s="8"/>
    </row>
    <row r="2377" ht="12.75">
      <c r="P2377" s="8"/>
    </row>
    <row r="2378" ht="12.75">
      <c r="P2378" s="8"/>
    </row>
    <row r="2379" ht="12.75">
      <c r="P2379" s="8"/>
    </row>
    <row r="2380" ht="12.75">
      <c r="P2380" s="8"/>
    </row>
    <row r="2381" ht="12.75">
      <c r="P2381" s="8"/>
    </row>
    <row r="2382" ht="12.75">
      <c r="P2382" s="8"/>
    </row>
    <row r="2383" ht="12.75">
      <c r="P2383" s="8"/>
    </row>
    <row r="2384" ht="12.75">
      <c r="P2384" s="8"/>
    </row>
    <row r="2385" ht="12.75">
      <c r="P2385" s="8"/>
    </row>
    <row r="2386" ht="12.75">
      <c r="P2386" s="8"/>
    </row>
    <row r="2387" ht="12.75">
      <c r="P2387" s="8"/>
    </row>
    <row r="2388" ht="12.75">
      <c r="P2388" s="8"/>
    </row>
    <row r="2389" ht="12.75">
      <c r="P2389" s="8"/>
    </row>
    <row r="2390" ht="12.75">
      <c r="P2390" s="8"/>
    </row>
    <row r="2391" ht="12.75">
      <c r="P2391" s="8"/>
    </row>
    <row r="2392" ht="12.75">
      <c r="P2392" s="8"/>
    </row>
    <row r="2393" ht="12.75">
      <c r="P2393" s="8"/>
    </row>
    <row r="2394" ht="12.75">
      <c r="P2394" s="8"/>
    </row>
    <row r="2395" ht="12.75">
      <c r="P2395" s="8"/>
    </row>
    <row r="2396" ht="12.75">
      <c r="P2396" s="8"/>
    </row>
    <row r="2397" ht="12.75">
      <c r="P2397" s="8"/>
    </row>
    <row r="2398" ht="12.75">
      <c r="P2398" s="8"/>
    </row>
    <row r="2399" ht="12.75">
      <c r="P2399" s="8"/>
    </row>
    <row r="2400" ht="12.75">
      <c r="P2400" s="8"/>
    </row>
    <row r="2401" ht="12.75">
      <c r="P2401" s="8"/>
    </row>
    <row r="2402" ht="12.75">
      <c r="P2402" s="8"/>
    </row>
    <row r="2403" ht="12.75">
      <c r="P2403" s="8"/>
    </row>
    <row r="2404" ht="12.75">
      <c r="P2404" s="8"/>
    </row>
    <row r="2405" ht="12.75">
      <c r="P2405" s="8"/>
    </row>
    <row r="2406" ht="12.75">
      <c r="P2406" s="8"/>
    </row>
    <row r="2407" ht="12.75">
      <c r="P2407" s="8"/>
    </row>
    <row r="2408" ht="12.75">
      <c r="P2408" s="8"/>
    </row>
    <row r="2409" ht="12.75">
      <c r="P2409" s="8"/>
    </row>
    <row r="2410" ht="12.75">
      <c r="P2410" s="8"/>
    </row>
    <row r="2411" ht="12.75">
      <c r="P2411" s="8"/>
    </row>
    <row r="2412" ht="12.75">
      <c r="P2412" s="8"/>
    </row>
    <row r="2413" ht="12.75">
      <c r="P2413" s="8"/>
    </row>
    <row r="2414" ht="12.75">
      <c r="P2414" s="8"/>
    </row>
    <row r="2415" ht="12.75">
      <c r="P2415" s="8"/>
    </row>
    <row r="2416" ht="12.75">
      <c r="P2416" s="8"/>
    </row>
    <row r="2417" ht="12.75">
      <c r="P2417" s="8"/>
    </row>
    <row r="2418" ht="12.75">
      <c r="P2418" s="8"/>
    </row>
    <row r="2419" ht="12.75">
      <c r="P2419" s="8"/>
    </row>
    <row r="2420" ht="12.75">
      <c r="P2420" s="8"/>
    </row>
    <row r="2421" ht="12.75">
      <c r="P2421" s="8"/>
    </row>
    <row r="2422" ht="12.75">
      <c r="P2422" s="8"/>
    </row>
    <row r="2423" ht="12.75">
      <c r="P2423" s="8"/>
    </row>
    <row r="2424" ht="12.75">
      <c r="P2424" s="8"/>
    </row>
    <row r="2425" ht="12.75">
      <c r="P2425" s="8"/>
    </row>
    <row r="2426" ht="12.75">
      <c r="P2426" s="8"/>
    </row>
    <row r="2427" ht="12.75">
      <c r="P2427" s="8"/>
    </row>
    <row r="2428" ht="12.75">
      <c r="P2428" s="8"/>
    </row>
    <row r="2429" ht="12.75">
      <c r="P2429" s="8"/>
    </row>
    <row r="2430" ht="12.75">
      <c r="P2430" s="8"/>
    </row>
    <row r="2431" ht="12.75">
      <c r="P2431" s="8"/>
    </row>
    <row r="2432" ht="12.75">
      <c r="P2432" s="8"/>
    </row>
    <row r="2433" ht="12.75">
      <c r="P2433" s="8"/>
    </row>
    <row r="2434" ht="12.75">
      <c r="P2434" s="8"/>
    </row>
    <row r="2435" ht="12.75">
      <c r="P2435" s="8"/>
    </row>
    <row r="2436" ht="12.75">
      <c r="P2436" s="8"/>
    </row>
    <row r="2437" ht="12.75">
      <c r="P2437" s="8"/>
    </row>
    <row r="2438" ht="12.75">
      <c r="P2438" s="8"/>
    </row>
    <row r="2439" ht="12.75">
      <c r="P2439" s="8"/>
    </row>
    <row r="2440" ht="12.75">
      <c r="P2440" s="8"/>
    </row>
    <row r="2441" ht="12.75">
      <c r="P2441" s="8"/>
    </row>
    <row r="2442" ht="12.75">
      <c r="P2442" s="8"/>
    </row>
    <row r="2443" ht="12.75">
      <c r="P2443" s="8"/>
    </row>
    <row r="2444" ht="12.75">
      <c r="P2444" s="8"/>
    </row>
    <row r="2445" ht="12.75">
      <c r="P2445" s="8"/>
    </row>
    <row r="2446" ht="12.75">
      <c r="P2446" s="8"/>
    </row>
    <row r="2447" ht="12.75">
      <c r="P2447" s="8"/>
    </row>
    <row r="2448" ht="12.75">
      <c r="P2448" s="8"/>
    </row>
    <row r="2449" ht="12.75">
      <c r="P2449" s="8"/>
    </row>
    <row r="2450" ht="12.75">
      <c r="P2450" s="8"/>
    </row>
    <row r="2451" ht="12.75">
      <c r="P2451" s="8"/>
    </row>
    <row r="2452" ht="12.75">
      <c r="P2452" s="8"/>
    </row>
    <row r="2453" ht="12.75">
      <c r="P2453" s="8"/>
    </row>
    <row r="2454" ht="12.75">
      <c r="P2454" s="8"/>
    </row>
    <row r="2455" ht="12.75">
      <c r="P2455" s="8"/>
    </row>
    <row r="2456" ht="12.75">
      <c r="P2456" s="8"/>
    </row>
    <row r="2457" ht="12.75">
      <c r="P2457" s="8"/>
    </row>
    <row r="2458" ht="12.75">
      <c r="P2458" s="8"/>
    </row>
    <row r="2459" ht="12.75">
      <c r="P2459" s="8"/>
    </row>
    <row r="2460" ht="12.75">
      <c r="P2460" s="8"/>
    </row>
    <row r="2461" ht="12.75">
      <c r="P2461" s="8"/>
    </row>
    <row r="2462" ht="12.75">
      <c r="P2462" s="8"/>
    </row>
    <row r="2463" ht="12.75">
      <c r="P2463" s="8"/>
    </row>
    <row r="2464" ht="12.75">
      <c r="P2464" s="8"/>
    </row>
    <row r="2465" ht="12.75">
      <c r="P2465" s="8"/>
    </row>
    <row r="2466" ht="12.75">
      <c r="P2466" s="8"/>
    </row>
    <row r="2467" ht="12.75">
      <c r="P2467" s="8"/>
    </row>
    <row r="2468" ht="12.75">
      <c r="P2468" s="8"/>
    </row>
    <row r="2469" ht="12.75">
      <c r="P2469" s="8"/>
    </row>
    <row r="2470" ht="12.75">
      <c r="P2470" s="8"/>
    </row>
    <row r="2471" ht="12.75">
      <c r="P2471" s="8"/>
    </row>
    <row r="2472" ht="12.75">
      <c r="P2472" s="8"/>
    </row>
    <row r="2473" ht="12.75">
      <c r="P2473" s="8"/>
    </row>
    <row r="2474" ht="12.75">
      <c r="P2474" s="8"/>
    </row>
    <row r="2475" ht="12.75">
      <c r="P2475" s="8"/>
    </row>
    <row r="2476" ht="12.75">
      <c r="P2476" s="8"/>
    </row>
    <row r="2477" ht="12.75">
      <c r="P2477" s="8"/>
    </row>
    <row r="2478" ht="12.75">
      <c r="P2478" s="8"/>
    </row>
    <row r="2479" ht="12.75">
      <c r="P2479" s="8"/>
    </row>
    <row r="2480" ht="12.75">
      <c r="P2480" s="8"/>
    </row>
    <row r="2481" ht="12.75">
      <c r="P2481" s="8"/>
    </row>
    <row r="2482" ht="12.75">
      <c r="P2482" s="8"/>
    </row>
    <row r="2483" ht="12.75">
      <c r="P2483" s="8"/>
    </row>
    <row r="2484" ht="12.75">
      <c r="P2484" s="8"/>
    </row>
    <row r="2485" ht="12.75">
      <c r="P2485" s="8"/>
    </row>
    <row r="2486" ht="12.75">
      <c r="P2486" s="8"/>
    </row>
    <row r="2487" ht="12.75">
      <c r="P2487" s="8"/>
    </row>
    <row r="2488" ht="12.75">
      <c r="P2488" s="8"/>
    </row>
    <row r="2489" ht="12.75">
      <c r="P2489" s="8"/>
    </row>
    <row r="2490" ht="12.75">
      <c r="P2490" s="8"/>
    </row>
    <row r="2491" ht="12.75">
      <c r="P2491" s="8"/>
    </row>
    <row r="2492" ht="12.75">
      <c r="P2492" s="8"/>
    </row>
    <row r="2493" ht="12.75">
      <c r="P2493" s="8"/>
    </row>
    <row r="2494" ht="12.75">
      <c r="P2494" s="8"/>
    </row>
    <row r="2495" ht="12.75">
      <c r="P2495" s="8"/>
    </row>
    <row r="2496" ht="12.75">
      <c r="P2496" s="8"/>
    </row>
    <row r="2497" ht="12.75">
      <c r="P2497" s="8"/>
    </row>
    <row r="2498" ht="12.75">
      <c r="P2498" s="8"/>
    </row>
    <row r="2499" ht="12.75">
      <c r="P2499" s="8"/>
    </row>
    <row r="2500" ht="12.75">
      <c r="P2500" s="8"/>
    </row>
    <row r="2501" ht="12.75">
      <c r="P2501" s="8"/>
    </row>
    <row r="2502" ht="12.75">
      <c r="P2502" s="8"/>
    </row>
    <row r="2503" ht="12.75">
      <c r="P2503" s="8"/>
    </row>
    <row r="2504" ht="12.75">
      <c r="P2504" s="8"/>
    </row>
    <row r="2505" ht="12.75">
      <c r="P2505" s="8"/>
    </row>
    <row r="2506" ht="12.75">
      <c r="P2506" s="8"/>
    </row>
    <row r="2507" ht="12.75">
      <c r="P2507" s="8"/>
    </row>
    <row r="2508" ht="12.75">
      <c r="P2508" s="8"/>
    </row>
    <row r="2509" ht="12.75">
      <c r="P2509" s="8"/>
    </row>
    <row r="2510" ht="12.75">
      <c r="P2510" s="8"/>
    </row>
    <row r="2511" ht="12.75">
      <c r="P2511" s="8"/>
    </row>
    <row r="2512" ht="12.75">
      <c r="P2512" s="8"/>
    </row>
    <row r="2513" ht="12.75">
      <c r="P2513" s="8"/>
    </row>
    <row r="2514" ht="12.75">
      <c r="P2514" s="8"/>
    </row>
    <row r="2515" ht="12.75">
      <c r="P2515" s="8"/>
    </row>
    <row r="2516" ht="12.75">
      <c r="P2516" s="8"/>
    </row>
    <row r="2517" ht="12.75">
      <c r="P2517" s="8"/>
    </row>
    <row r="2518" ht="12.75">
      <c r="P2518" s="8"/>
    </row>
    <row r="2519" ht="12.75">
      <c r="P2519" s="8"/>
    </row>
    <row r="2520" ht="12.75">
      <c r="P2520" s="8"/>
    </row>
    <row r="2521" ht="12.75">
      <c r="P2521" s="8"/>
    </row>
    <row r="2522" ht="12.75">
      <c r="P2522" s="8"/>
    </row>
    <row r="2523" ht="12.75">
      <c r="P2523" s="8"/>
    </row>
    <row r="2524" ht="12.75">
      <c r="P2524" s="8"/>
    </row>
    <row r="2525" ht="12.75">
      <c r="P2525" s="8"/>
    </row>
    <row r="2526" ht="12.75">
      <c r="P2526" s="8"/>
    </row>
    <row r="2527" ht="12.75">
      <c r="P2527" s="8"/>
    </row>
    <row r="2528" ht="12.75">
      <c r="P2528" s="8"/>
    </row>
    <row r="2529" ht="12.75">
      <c r="P2529" s="8"/>
    </row>
    <row r="2530" ht="12.75">
      <c r="P2530" s="8"/>
    </row>
    <row r="2531" ht="12.75">
      <c r="P2531" s="8"/>
    </row>
    <row r="2532" ht="12.75">
      <c r="P2532" s="8"/>
    </row>
    <row r="2533" ht="12.75">
      <c r="P2533" s="8"/>
    </row>
    <row r="2534" ht="12.75">
      <c r="P2534" s="8"/>
    </row>
    <row r="2535" ht="12.75">
      <c r="P2535" s="8"/>
    </row>
    <row r="2536" ht="12.75">
      <c r="P2536" s="8"/>
    </row>
    <row r="2537" ht="12.75">
      <c r="P2537" s="8"/>
    </row>
    <row r="2538" ht="12.75">
      <c r="P2538" s="8"/>
    </row>
    <row r="2539" ht="12.75">
      <c r="P2539" s="8"/>
    </row>
    <row r="2540" ht="12.75">
      <c r="P2540" s="8"/>
    </row>
    <row r="2541" ht="12.75">
      <c r="P2541" s="8"/>
    </row>
    <row r="2542" ht="12.75">
      <c r="P2542" s="8"/>
    </row>
    <row r="2543" ht="12.75">
      <c r="P2543" s="8"/>
    </row>
    <row r="2544" ht="12.75">
      <c r="P2544" s="8"/>
    </row>
    <row r="2545" ht="12.75">
      <c r="P2545" s="8"/>
    </row>
    <row r="2546" ht="12.75">
      <c r="P2546" s="8"/>
    </row>
    <row r="2547" ht="12.75">
      <c r="P2547" s="8"/>
    </row>
    <row r="2548" ht="12.75">
      <c r="P2548" s="8"/>
    </row>
    <row r="2549" ht="12.75">
      <c r="P2549" s="8"/>
    </row>
    <row r="2550" ht="12.75">
      <c r="P2550" s="8"/>
    </row>
    <row r="2551" ht="12.75">
      <c r="P2551" s="8"/>
    </row>
    <row r="2552" ht="12.75">
      <c r="P2552" s="8"/>
    </row>
    <row r="2553" ht="12.75">
      <c r="P2553" s="8"/>
    </row>
    <row r="2554" ht="12.75">
      <c r="P2554" s="8"/>
    </row>
    <row r="2555" ht="12.75">
      <c r="P2555" s="8"/>
    </row>
    <row r="2556" ht="12.75">
      <c r="P2556" s="8"/>
    </row>
    <row r="2557" ht="12.75">
      <c r="P2557" s="8"/>
    </row>
    <row r="2558" ht="12.75">
      <c r="P2558" s="8"/>
    </row>
    <row r="2559" ht="12.75">
      <c r="P2559" s="8"/>
    </row>
    <row r="2560" ht="12.75">
      <c r="P2560" s="8"/>
    </row>
    <row r="2561" ht="12.75">
      <c r="P2561" s="8"/>
    </row>
    <row r="2562" ht="12.75">
      <c r="P2562" s="8"/>
    </row>
    <row r="2563" ht="12.75">
      <c r="P2563" s="8"/>
    </row>
    <row r="2564" ht="12.75">
      <c r="P2564" s="8"/>
    </row>
    <row r="2565" ht="12.75">
      <c r="P2565" s="8"/>
    </row>
    <row r="2566" ht="12.75">
      <c r="P2566" s="8"/>
    </row>
    <row r="2567" ht="12.75">
      <c r="P2567" s="8"/>
    </row>
    <row r="2568" ht="12.75">
      <c r="P2568" s="8"/>
    </row>
    <row r="2569" ht="12.75">
      <c r="P2569" s="8"/>
    </row>
    <row r="2570" ht="12.75">
      <c r="P2570" s="8"/>
    </row>
    <row r="2571" ht="12.75">
      <c r="P2571" s="8"/>
    </row>
    <row r="2572" ht="12.75">
      <c r="P2572" s="8"/>
    </row>
    <row r="2573" ht="12.75">
      <c r="P2573" s="8"/>
    </row>
    <row r="2574" ht="12.75">
      <c r="P2574" s="8"/>
    </row>
    <row r="2575" ht="12.75">
      <c r="P2575" s="8"/>
    </row>
    <row r="2576" ht="12.75">
      <c r="P2576" s="8"/>
    </row>
    <row r="2577" ht="12.75">
      <c r="P2577" s="8"/>
    </row>
    <row r="2578" ht="12.75">
      <c r="P2578" s="8"/>
    </row>
    <row r="2579" ht="12.75">
      <c r="P2579" s="8"/>
    </row>
    <row r="2580" ht="12.75">
      <c r="P2580" s="8"/>
    </row>
    <row r="2581" ht="12.75">
      <c r="P2581" s="8"/>
    </row>
    <row r="2582" ht="12.75">
      <c r="P2582" s="8"/>
    </row>
    <row r="2583" ht="12.75">
      <c r="P2583" s="8"/>
    </row>
    <row r="2584" ht="12.75">
      <c r="P2584" s="8"/>
    </row>
    <row r="2585" ht="12.75">
      <c r="P2585" s="8"/>
    </row>
    <row r="2586" ht="12.75">
      <c r="P2586" s="8"/>
    </row>
    <row r="2587" ht="12.75">
      <c r="P2587" s="8"/>
    </row>
    <row r="2588" ht="12.75">
      <c r="P2588" s="8"/>
    </row>
    <row r="2589" ht="12.75">
      <c r="P2589" s="8"/>
    </row>
    <row r="2590" ht="12.75">
      <c r="P2590" s="8"/>
    </row>
    <row r="2591" ht="12.75">
      <c r="P2591" s="8"/>
    </row>
    <row r="2592" ht="12.75">
      <c r="P2592" s="8"/>
    </row>
    <row r="2593" ht="12.75">
      <c r="P2593" s="8"/>
    </row>
    <row r="2594" ht="12.75">
      <c r="P2594" s="8"/>
    </row>
    <row r="2595" ht="12.75">
      <c r="P2595" s="8"/>
    </row>
    <row r="2596" ht="12.75">
      <c r="P2596" s="8"/>
    </row>
    <row r="2597" ht="12.75">
      <c r="P2597" s="8"/>
    </row>
    <row r="2598" ht="12.75">
      <c r="P2598" s="8"/>
    </row>
    <row r="2599" ht="12.75">
      <c r="P2599" s="8"/>
    </row>
    <row r="2600" ht="12.75">
      <c r="P2600" s="8"/>
    </row>
    <row r="2601" ht="12.75">
      <c r="P2601" s="8"/>
    </row>
    <row r="2602" ht="12.75">
      <c r="P2602" s="8"/>
    </row>
    <row r="2603" ht="12.75">
      <c r="P2603" s="8"/>
    </row>
    <row r="2604" ht="12.75">
      <c r="P2604" s="8"/>
    </row>
    <row r="2605" ht="12.75">
      <c r="P2605" s="8"/>
    </row>
    <row r="2606" ht="12.75">
      <c r="P2606" s="8"/>
    </row>
    <row r="2607" ht="12.75">
      <c r="P2607" s="8"/>
    </row>
    <row r="2608" ht="12.75">
      <c r="P2608" s="8"/>
    </row>
    <row r="2609" ht="12.75">
      <c r="P2609" s="8"/>
    </row>
    <row r="2610" ht="12.75">
      <c r="P2610" s="8"/>
    </row>
    <row r="2611" ht="12.75">
      <c r="P2611" s="8"/>
    </row>
    <row r="2612" ht="12.75">
      <c r="P2612" s="8"/>
    </row>
    <row r="2613" ht="12.75">
      <c r="P2613" s="8"/>
    </row>
    <row r="2614" ht="12.75">
      <c r="P2614" s="8"/>
    </row>
    <row r="2615" ht="12.75">
      <c r="P2615" s="8"/>
    </row>
    <row r="2616" ht="12.75">
      <c r="P2616" s="8"/>
    </row>
    <row r="2617" ht="12.75">
      <c r="P2617" s="8"/>
    </row>
    <row r="2618" ht="12.75">
      <c r="P2618" s="8"/>
    </row>
    <row r="2619" ht="12.75">
      <c r="P2619" s="8"/>
    </row>
    <row r="2620" ht="12.75">
      <c r="P2620" s="8"/>
    </row>
    <row r="2621" ht="12.75">
      <c r="P2621" s="8"/>
    </row>
    <row r="2622" ht="12.75">
      <c r="P2622" s="8"/>
    </row>
    <row r="2623" ht="12.75">
      <c r="P2623" s="8"/>
    </row>
    <row r="2624" ht="12.75">
      <c r="P2624" s="8"/>
    </row>
    <row r="2625" ht="12.75">
      <c r="P2625" s="8"/>
    </row>
    <row r="2626" ht="12.75">
      <c r="P2626" s="8"/>
    </row>
    <row r="2627" ht="12.75">
      <c r="P2627" s="8"/>
    </row>
    <row r="2628" ht="12.75">
      <c r="P2628" s="8"/>
    </row>
    <row r="2629" ht="12.75">
      <c r="P2629" s="8"/>
    </row>
    <row r="2630" ht="12.75">
      <c r="P2630" s="8"/>
    </row>
    <row r="2631" ht="12.75">
      <c r="P2631" s="8"/>
    </row>
    <row r="2632" ht="12.75">
      <c r="P2632" s="8"/>
    </row>
    <row r="2633" ht="12.75">
      <c r="P2633" s="8"/>
    </row>
    <row r="2634" ht="12.75">
      <c r="P2634" s="8"/>
    </row>
    <row r="2635" ht="12.75">
      <c r="P2635" s="8"/>
    </row>
    <row r="2636" ht="12.75">
      <c r="P2636" s="8"/>
    </row>
    <row r="2637" ht="12.75">
      <c r="P2637" s="8"/>
    </row>
    <row r="2638" ht="12.75">
      <c r="P2638" s="8"/>
    </row>
    <row r="2639" ht="12.75">
      <c r="P2639" s="8"/>
    </row>
    <row r="2640" ht="12.75">
      <c r="P2640" s="8"/>
    </row>
    <row r="2641" ht="12.75">
      <c r="P2641" s="8"/>
    </row>
    <row r="2642" ht="12.75">
      <c r="P2642" s="8"/>
    </row>
    <row r="2643" ht="12.75">
      <c r="P2643" s="8"/>
    </row>
    <row r="2644" ht="12.75">
      <c r="P2644" s="8"/>
    </row>
    <row r="2645" ht="12.75">
      <c r="P2645" s="8"/>
    </row>
    <row r="2646" ht="12.75">
      <c r="P2646" s="8"/>
    </row>
    <row r="2647" ht="12.75">
      <c r="P2647" s="8"/>
    </row>
    <row r="2648" ht="12.75">
      <c r="P2648" s="8"/>
    </row>
    <row r="2649" ht="12.75">
      <c r="P2649" s="8"/>
    </row>
    <row r="2650" ht="12.75">
      <c r="P2650" s="8"/>
    </row>
    <row r="2651" ht="12.75">
      <c r="P2651" s="8"/>
    </row>
    <row r="2652" ht="12.75">
      <c r="P2652" s="8"/>
    </row>
    <row r="2653" ht="12.75">
      <c r="P2653" s="8"/>
    </row>
    <row r="2654" ht="12.75">
      <c r="P2654" s="8"/>
    </row>
    <row r="2655" ht="12.75">
      <c r="P2655" s="8"/>
    </row>
    <row r="2656" ht="12.75">
      <c r="P2656" s="8"/>
    </row>
    <row r="2657" ht="12.75">
      <c r="P2657" s="8"/>
    </row>
    <row r="2658" ht="12.75">
      <c r="P2658" s="8"/>
    </row>
    <row r="2659" ht="12.75">
      <c r="P2659" s="8"/>
    </row>
    <row r="2660" ht="12.75">
      <c r="P2660" s="8"/>
    </row>
    <row r="2661" ht="12.75">
      <c r="P2661" s="8"/>
    </row>
    <row r="2662" ht="12.75">
      <c r="P2662" s="8"/>
    </row>
    <row r="2663" ht="12.75">
      <c r="P2663" s="8"/>
    </row>
    <row r="2664" ht="12.75">
      <c r="P2664" s="8"/>
    </row>
    <row r="2665" ht="12.75">
      <c r="P2665" s="8"/>
    </row>
    <row r="2666" ht="12.75">
      <c r="P2666" s="8"/>
    </row>
    <row r="2667" ht="12.75">
      <c r="P2667" s="8"/>
    </row>
    <row r="2668" ht="12.75">
      <c r="P2668" s="8"/>
    </row>
    <row r="2669" ht="12.75">
      <c r="P2669" s="8"/>
    </row>
    <row r="2670" ht="12.75">
      <c r="P2670" s="8"/>
    </row>
    <row r="2671" ht="12.75">
      <c r="P2671" s="8"/>
    </row>
    <row r="2672" ht="12.75">
      <c r="P2672" s="8"/>
    </row>
    <row r="2673" ht="12.75">
      <c r="P2673" s="8"/>
    </row>
    <row r="2674" ht="12.75">
      <c r="P2674" s="8"/>
    </row>
    <row r="2675" ht="12.75">
      <c r="P2675" s="8"/>
    </row>
    <row r="2676" ht="12.75">
      <c r="P2676" s="8"/>
    </row>
    <row r="2677" ht="12.75">
      <c r="P2677" s="8"/>
    </row>
    <row r="2678" ht="12.75">
      <c r="P2678" s="8"/>
    </row>
    <row r="2679" ht="12.75">
      <c r="P2679" s="8"/>
    </row>
    <row r="2680" ht="12.75">
      <c r="P2680" s="8"/>
    </row>
    <row r="2681" ht="12.75">
      <c r="P2681" s="8"/>
    </row>
    <row r="2682" ht="12.75">
      <c r="P2682" s="8"/>
    </row>
    <row r="2683" ht="12.75">
      <c r="P2683" s="8"/>
    </row>
    <row r="2684" ht="12.75">
      <c r="P2684" s="8"/>
    </row>
    <row r="2685" ht="12.75">
      <c r="P2685" s="8"/>
    </row>
    <row r="2686" ht="12.75">
      <c r="P2686" s="8"/>
    </row>
    <row r="2687" ht="12.75">
      <c r="P2687" s="8"/>
    </row>
    <row r="2688" ht="12.75">
      <c r="P2688" s="8"/>
    </row>
    <row r="2689" ht="12.75">
      <c r="P2689" s="8"/>
    </row>
    <row r="2690" ht="12.75">
      <c r="P2690" s="8"/>
    </row>
    <row r="2691" ht="12.75">
      <c r="P2691" s="8"/>
    </row>
    <row r="2692" ht="12.75">
      <c r="P2692" s="8"/>
    </row>
    <row r="2693" ht="12.75">
      <c r="P2693" s="8"/>
    </row>
    <row r="2694" ht="12.75">
      <c r="P2694" s="8"/>
    </row>
    <row r="2695" ht="12.75">
      <c r="P2695" s="8"/>
    </row>
    <row r="2696" ht="12.75">
      <c r="P2696" s="8"/>
    </row>
    <row r="2697" ht="12.75">
      <c r="P2697" s="8"/>
    </row>
    <row r="2698" ht="12.75">
      <c r="P2698" s="8"/>
    </row>
    <row r="2699" ht="12.75">
      <c r="P2699" s="8"/>
    </row>
    <row r="2700" ht="12.75">
      <c r="P2700" s="8"/>
    </row>
    <row r="2701" ht="12.75">
      <c r="P2701" s="8"/>
    </row>
    <row r="2702" ht="12.75">
      <c r="P2702" s="8"/>
    </row>
    <row r="2703" ht="12.75">
      <c r="P2703" s="8"/>
    </row>
    <row r="2704" ht="12.75">
      <c r="P2704" s="8"/>
    </row>
    <row r="2705" ht="12.75">
      <c r="P2705" s="8"/>
    </row>
    <row r="2706" ht="12.75">
      <c r="P2706" s="8"/>
    </row>
    <row r="2707" ht="12.75">
      <c r="P2707" s="8"/>
    </row>
    <row r="2708" ht="12.75">
      <c r="P2708" s="8"/>
    </row>
    <row r="2709" ht="12.75">
      <c r="P2709" s="8"/>
    </row>
    <row r="2710" ht="12.75">
      <c r="P2710" s="8"/>
    </row>
    <row r="2711" ht="12.75">
      <c r="P2711" s="8"/>
    </row>
    <row r="2712" ht="12.75">
      <c r="P2712" s="8"/>
    </row>
    <row r="2713" ht="12.75">
      <c r="P2713" s="8"/>
    </row>
    <row r="2714" ht="12.75">
      <c r="P2714" s="8"/>
    </row>
    <row r="2715" ht="12.75">
      <c r="P2715" s="8"/>
    </row>
    <row r="2716" ht="12.75">
      <c r="P2716" s="8"/>
    </row>
    <row r="2717" ht="12.75">
      <c r="P2717" s="8"/>
    </row>
    <row r="2718" ht="12.75">
      <c r="P2718" s="8"/>
    </row>
    <row r="2719" ht="12.75">
      <c r="P2719" s="8"/>
    </row>
    <row r="2720" ht="12.75">
      <c r="P2720" s="8"/>
    </row>
    <row r="2721" ht="12.75">
      <c r="P2721" s="8"/>
    </row>
    <row r="2722" ht="12.75">
      <c r="P2722" s="8"/>
    </row>
    <row r="2723" ht="12.75">
      <c r="P2723" s="8"/>
    </row>
    <row r="2724" ht="12.75">
      <c r="P2724" s="8"/>
    </row>
    <row r="2725" ht="12.75">
      <c r="P2725" s="8"/>
    </row>
    <row r="2726" ht="12.75">
      <c r="P2726" s="8"/>
    </row>
    <row r="2727" ht="12.75">
      <c r="P2727" s="8"/>
    </row>
    <row r="2728" ht="12.75">
      <c r="P2728" s="8"/>
    </row>
    <row r="2729" ht="12.75">
      <c r="P2729" s="8"/>
    </row>
    <row r="2730" ht="12.75">
      <c r="P2730" s="8"/>
    </row>
    <row r="2731" ht="12.75">
      <c r="P2731" s="8"/>
    </row>
    <row r="2732" ht="12.75">
      <c r="P2732" s="8"/>
    </row>
    <row r="2733" ht="12.75">
      <c r="P2733" s="8"/>
    </row>
    <row r="2734" ht="12.75">
      <c r="P2734" s="8"/>
    </row>
    <row r="2735" ht="12.75">
      <c r="P2735" s="8"/>
    </row>
    <row r="2736" ht="12.75">
      <c r="P2736" s="8"/>
    </row>
    <row r="2737" ht="12.75">
      <c r="P2737" s="8"/>
    </row>
    <row r="2738" ht="12.75">
      <c r="P2738" s="8"/>
    </row>
    <row r="2739" ht="12.75">
      <c r="P2739" s="8"/>
    </row>
    <row r="2740" ht="12.75">
      <c r="P2740" s="8"/>
    </row>
    <row r="2741" ht="12.75">
      <c r="P2741" s="8"/>
    </row>
    <row r="2742" ht="12.75">
      <c r="P2742" s="8"/>
    </row>
    <row r="2743" ht="12.75">
      <c r="P2743" s="8"/>
    </row>
    <row r="2744" ht="12.75">
      <c r="P2744" s="8"/>
    </row>
    <row r="2745" ht="12.75">
      <c r="P2745" s="8"/>
    </row>
    <row r="2746" ht="12.75">
      <c r="P2746" s="8"/>
    </row>
    <row r="2747" ht="12.75">
      <c r="P2747" s="8"/>
    </row>
    <row r="2748" ht="12.75">
      <c r="P2748" s="8"/>
    </row>
    <row r="2749" ht="12.75">
      <c r="P2749" s="8"/>
    </row>
    <row r="2750" ht="12.75">
      <c r="P2750" s="8"/>
    </row>
    <row r="2751" ht="12.75">
      <c r="P2751" s="8"/>
    </row>
    <row r="2752" ht="12.75">
      <c r="P2752" s="8"/>
    </row>
    <row r="2753" ht="12.75">
      <c r="P2753" s="8"/>
    </row>
    <row r="2754" ht="12.75">
      <c r="P2754" s="8"/>
    </row>
    <row r="2755" ht="12.75">
      <c r="P2755" s="8"/>
    </row>
    <row r="2756" ht="12.75">
      <c r="P2756" s="8"/>
    </row>
    <row r="2757" ht="12.75">
      <c r="P2757" s="8"/>
    </row>
    <row r="2758" ht="12.75">
      <c r="P2758" s="8"/>
    </row>
    <row r="2759" ht="12.75">
      <c r="P2759" s="8"/>
    </row>
    <row r="2760" ht="12.75">
      <c r="P2760" s="8"/>
    </row>
    <row r="2761" ht="12.75">
      <c r="P2761" s="8"/>
    </row>
    <row r="2762" ht="12.75">
      <c r="P2762" s="8"/>
    </row>
    <row r="2763" ht="12.75">
      <c r="P2763" s="8"/>
    </row>
    <row r="2764" ht="12.75">
      <c r="P2764" s="8"/>
    </row>
    <row r="2765" ht="12.75">
      <c r="P2765" s="8"/>
    </row>
    <row r="2766" ht="12.75">
      <c r="P2766" s="8"/>
    </row>
    <row r="2767" ht="12.75">
      <c r="P2767" s="8"/>
    </row>
    <row r="2768" ht="12.75">
      <c r="P2768" s="8"/>
    </row>
    <row r="2769" ht="12.75">
      <c r="P2769" s="8"/>
    </row>
    <row r="2770" ht="12.75">
      <c r="P2770" s="8"/>
    </row>
    <row r="2771" ht="12.75">
      <c r="P2771" s="8"/>
    </row>
    <row r="2772" ht="12.75">
      <c r="P2772" s="8"/>
    </row>
    <row r="2773" ht="12.75">
      <c r="P2773" s="8"/>
    </row>
    <row r="2774" ht="12.75">
      <c r="P2774" s="8"/>
    </row>
    <row r="2775" ht="12.75">
      <c r="P2775" s="8"/>
    </row>
    <row r="2776" ht="12.75">
      <c r="P2776" s="8"/>
    </row>
    <row r="2777" ht="12.75">
      <c r="P2777" s="8"/>
    </row>
    <row r="2778" ht="12.75">
      <c r="P2778" s="8"/>
    </row>
    <row r="2779" ht="12.75">
      <c r="P2779" s="8"/>
    </row>
    <row r="2780" ht="12.75">
      <c r="P2780" s="8"/>
    </row>
    <row r="2781" ht="12.75">
      <c r="P2781" s="8"/>
    </row>
    <row r="2782" ht="12.75">
      <c r="P2782" s="8"/>
    </row>
    <row r="2783" ht="12.75">
      <c r="P2783" s="8"/>
    </row>
    <row r="2784" ht="12.75">
      <c r="P2784" s="8"/>
    </row>
    <row r="2785" ht="12.75">
      <c r="P2785" s="8"/>
    </row>
    <row r="2786" ht="12.75">
      <c r="P2786" s="8"/>
    </row>
    <row r="2787" ht="12.75">
      <c r="P2787" s="8"/>
    </row>
    <row r="2788" ht="12.75">
      <c r="P2788" s="8"/>
    </row>
    <row r="2789" ht="12.75">
      <c r="P2789" s="8"/>
    </row>
    <row r="2790" ht="12.75">
      <c r="P2790" s="8"/>
    </row>
    <row r="2791" ht="12.75">
      <c r="P2791" s="8"/>
    </row>
    <row r="2792" ht="12.75">
      <c r="P2792" s="8"/>
    </row>
    <row r="2793" ht="12.75">
      <c r="P2793" s="8"/>
    </row>
    <row r="2794" ht="12.75">
      <c r="P2794" s="8"/>
    </row>
    <row r="2795" ht="12.75">
      <c r="P2795" s="8"/>
    </row>
    <row r="2796" ht="12.75">
      <c r="P2796" s="8"/>
    </row>
    <row r="2797" ht="12.75">
      <c r="P2797" s="8"/>
    </row>
    <row r="2798" ht="12.75">
      <c r="P2798" s="8"/>
    </row>
    <row r="2799" ht="12.75">
      <c r="P2799" s="8"/>
    </row>
    <row r="2800" ht="12.75">
      <c r="P2800" s="8"/>
    </row>
    <row r="2801" ht="12.75">
      <c r="P2801" s="8"/>
    </row>
    <row r="2802" ht="12.75">
      <c r="P2802" s="8"/>
    </row>
    <row r="2803" ht="12.75">
      <c r="P2803" s="8"/>
    </row>
    <row r="2804" ht="12.75">
      <c r="P2804" s="8"/>
    </row>
    <row r="2805" ht="12.75">
      <c r="P2805" s="8"/>
    </row>
    <row r="2806" ht="12.75">
      <c r="P2806" s="8"/>
    </row>
    <row r="2807" ht="12.75">
      <c r="P2807" s="8"/>
    </row>
    <row r="2808" ht="12.75">
      <c r="P2808" s="8"/>
    </row>
    <row r="2809" ht="12.75">
      <c r="P2809" s="8"/>
    </row>
    <row r="2810" ht="12.75">
      <c r="P2810" s="8"/>
    </row>
    <row r="2811" ht="12.75">
      <c r="P2811" s="8"/>
    </row>
    <row r="2812" ht="12.75">
      <c r="P2812" s="8"/>
    </row>
    <row r="2813" ht="12.75">
      <c r="P2813" s="8"/>
    </row>
    <row r="2814" ht="12.75">
      <c r="P2814" s="8"/>
    </row>
    <row r="2815" ht="12.75">
      <c r="P2815" s="8"/>
    </row>
    <row r="2816" ht="12.75">
      <c r="P2816" s="8"/>
    </row>
    <row r="2817" ht="12.75">
      <c r="P2817" s="8"/>
    </row>
    <row r="2818" ht="12.75">
      <c r="P2818" s="8"/>
    </row>
    <row r="2819" ht="12.75">
      <c r="P2819" s="8"/>
    </row>
    <row r="2820" ht="12.75">
      <c r="P2820" s="8"/>
    </row>
    <row r="2821" ht="12.75">
      <c r="P2821" s="8"/>
    </row>
    <row r="2822" ht="12.75">
      <c r="P2822" s="8"/>
    </row>
    <row r="2823" ht="12.75">
      <c r="P2823" s="8"/>
    </row>
    <row r="2824" ht="12.75">
      <c r="P2824" s="8"/>
    </row>
    <row r="2825" ht="12.75">
      <c r="P2825" s="8"/>
    </row>
    <row r="2826" ht="12.75">
      <c r="P2826" s="8"/>
    </row>
    <row r="2827" ht="12.75">
      <c r="P2827" s="8"/>
    </row>
    <row r="2828" ht="12.75">
      <c r="P2828" s="8"/>
    </row>
    <row r="2829" ht="12.75">
      <c r="P2829" s="8"/>
    </row>
    <row r="2830" ht="12.75">
      <c r="P2830" s="8"/>
    </row>
    <row r="2831" ht="12.75">
      <c r="P2831" s="8"/>
    </row>
    <row r="2832" ht="12.75">
      <c r="P2832" s="8"/>
    </row>
    <row r="2833" ht="12.75">
      <c r="P2833" s="8"/>
    </row>
    <row r="2834" ht="12.75">
      <c r="P2834" s="8"/>
    </row>
    <row r="2835" ht="12.75">
      <c r="P2835" s="8"/>
    </row>
    <row r="2836" ht="12.75">
      <c r="P2836" s="8"/>
    </row>
    <row r="2837" ht="12.75">
      <c r="P2837" s="8"/>
    </row>
    <row r="2838" ht="12.75">
      <c r="P2838" s="8"/>
    </row>
    <row r="2839" ht="12.75">
      <c r="P2839" s="8"/>
    </row>
    <row r="2840" ht="12.75">
      <c r="P2840" s="8"/>
    </row>
    <row r="2841" ht="12.75">
      <c r="P2841" s="8"/>
    </row>
    <row r="2842" ht="12.75">
      <c r="P2842" s="8"/>
    </row>
    <row r="2843" ht="12.75">
      <c r="P2843" s="8"/>
    </row>
    <row r="2844" ht="12.75">
      <c r="P2844" s="8"/>
    </row>
    <row r="2845" ht="12.75">
      <c r="P2845" s="8"/>
    </row>
    <row r="2846" ht="12.75">
      <c r="P2846" s="8"/>
    </row>
    <row r="2847" ht="12.75">
      <c r="P2847" s="8"/>
    </row>
    <row r="2848" ht="12.75">
      <c r="P2848" s="8"/>
    </row>
    <row r="2849" ht="12.75">
      <c r="P2849" s="8"/>
    </row>
    <row r="2850" ht="12.75">
      <c r="P2850" s="8"/>
    </row>
    <row r="2851" ht="12.75">
      <c r="P2851" s="8"/>
    </row>
    <row r="2852" ht="12.75">
      <c r="P2852" s="8"/>
    </row>
    <row r="2853" ht="12.75">
      <c r="P2853" s="8"/>
    </row>
    <row r="2854" ht="12.75">
      <c r="P2854" s="8"/>
    </row>
    <row r="2855" ht="12.75">
      <c r="P2855" s="8"/>
    </row>
    <row r="2856" ht="12.75">
      <c r="P2856" s="8"/>
    </row>
    <row r="2857" ht="12.75">
      <c r="P2857" s="8"/>
    </row>
    <row r="2858" ht="12.75">
      <c r="P2858" s="8"/>
    </row>
    <row r="2859" ht="12.75">
      <c r="P2859" s="8"/>
    </row>
    <row r="2860" ht="12.75">
      <c r="P2860" s="8"/>
    </row>
    <row r="2861" ht="12.75">
      <c r="P2861" s="8"/>
    </row>
    <row r="2862" ht="12.75">
      <c r="P2862" s="8"/>
    </row>
    <row r="2863" ht="12.75">
      <c r="P2863" s="8"/>
    </row>
    <row r="2864" ht="12.75">
      <c r="P2864" s="8"/>
    </row>
    <row r="2865" ht="12.75">
      <c r="P2865" s="8"/>
    </row>
    <row r="2866" ht="12.75">
      <c r="P2866" s="8"/>
    </row>
    <row r="2867" ht="12.75">
      <c r="P2867" s="8"/>
    </row>
    <row r="2868" ht="12.75">
      <c r="P2868" s="8"/>
    </row>
    <row r="2869" ht="12.75">
      <c r="P2869" s="8"/>
    </row>
    <row r="2870" ht="12.75">
      <c r="P2870" s="8"/>
    </row>
    <row r="2871" ht="12.75">
      <c r="P2871" s="8"/>
    </row>
    <row r="2872" ht="12.75">
      <c r="P2872" s="8"/>
    </row>
    <row r="2873" ht="12.75">
      <c r="P2873" s="8"/>
    </row>
    <row r="2874" ht="12.75">
      <c r="P2874" s="8"/>
    </row>
    <row r="2875" ht="12.75">
      <c r="P2875" s="8"/>
    </row>
    <row r="2876" ht="12.75">
      <c r="P2876" s="8"/>
    </row>
    <row r="2877" ht="12.75">
      <c r="P2877" s="8"/>
    </row>
    <row r="2878" ht="12.75">
      <c r="P2878" s="8"/>
    </row>
    <row r="2879" ht="12.75">
      <c r="P2879" s="8"/>
    </row>
    <row r="2880" ht="12.75">
      <c r="P2880" s="8"/>
    </row>
    <row r="2881" ht="12.75">
      <c r="P2881" s="8"/>
    </row>
    <row r="2882" ht="12.75">
      <c r="P2882" s="8"/>
    </row>
    <row r="2883" ht="12.75">
      <c r="P2883" s="8"/>
    </row>
    <row r="2884" ht="12.75">
      <c r="P2884" s="8"/>
    </row>
    <row r="2885" ht="12.75">
      <c r="P2885" s="8"/>
    </row>
    <row r="2886" ht="12.75">
      <c r="P2886" s="8"/>
    </row>
    <row r="2887" ht="12.75">
      <c r="P2887" s="8"/>
    </row>
    <row r="2888" ht="12.75">
      <c r="P2888" s="8"/>
    </row>
    <row r="2889" ht="12.75">
      <c r="P2889" s="8"/>
    </row>
    <row r="2890" ht="12.75">
      <c r="P2890" s="8"/>
    </row>
    <row r="2891" ht="12.75">
      <c r="P2891" s="8"/>
    </row>
    <row r="2892" ht="12.75">
      <c r="P2892" s="8"/>
    </row>
    <row r="2893" ht="12.75">
      <c r="P2893" s="8"/>
    </row>
    <row r="2894" ht="12.75">
      <c r="P2894" s="8"/>
    </row>
    <row r="2895" ht="12.75">
      <c r="P2895" s="8"/>
    </row>
    <row r="2896" ht="12.75">
      <c r="P2896" s="8"/>
    </row>
    <row r="2897" ht="12.75">
      <c r="P2897" s="8"/>
    </row>
    <row r="2898" ht="12.75">
      <c r="P2898" s="8"/>
    </row>
    <row r="2899" ht="12.75">
      <c r="P2899" s="8"/>
    </row>
    <row r="2900" ht="12.75">
      <c r="P2900" s="8"/>
    </row>
    <row r="2901" ht="12.75">
      <c r="P2901" s="8"/>
    </row>
    <row r="2902" ht="12.75">
      <c r="P2902" s="8"/>
    </row>
    <row r="2903" ht="12.75">
      <c r="P2903" s="8"/>
    </row>
    <row r="2904" ht="12.75">
      <c r="P2904" s="8"/>
    </row>
    <row r="2905" ht="12.75">
      <c r="P2905" s="8"/>
    </row>
    <row r="2906" ht="12.75">
      <c r="P2906" s="8"/>
    </row>
    <row r="2907" ht="12.75">
      <c r="P2907" s="8"/>
    </row>
    <row r="2908" ht="12.75">
      <c r="P2908" s="8"/>
    </row>
    <row r="2909" ht="12.75">
      <c r="P2909" s="8"/>
    </row>
    <row r="2910" ht="12.75">
      <c r="P2910" s="8"/>
    </row>
    <row r="2911" ht="12.75">
      <c r="P2911" s="8"/>
    </row>
    <row r="2912" ht="12.75">
      <c r="P2912" s="8"/>
    </row>
    <row r="2913" ht="12.75">
      <c r="P2913" s="8"/>
    </row>
    <row r="2914" ht="12.75">
      <c r="P2914" s="8"/>
    </row>
    <row r="2915" ht="12.75">
      <c r="P2915" s="8"/>
    </row>
    <row r="2916" ht="12.75">
      <c r="P2916" s="8"/>
    </row>
    <row r="2917" ht="12.75">
      <c r="P2917" s="8"/>
    </row>
    <row r="2918" ht="12.75">
      <c r="P2918" s="8"/>
    </row>
    <row r="2919" ht="12.75">
      <c r="P2919" s="8"/>
    </row>
    <row r="2920" ht="12.75">
      <c r="P2920" s="8"/>
    </row>
    <row r="2921" ht="12.75">
      <c r="P2921" s="8"/>
    </row>
    <row r="2922" ht="12.75">
      <c r="P2922" s="8"/>
    </row>
    <row r="2923" ht="12.75">
      <c r="P2923" s="8"/>
    </row>
    <row r="2924" ht="12.75">
      <c r="P2924" s="8"/>
    </row>
    <row r="2925" ht="12.75">
      <c r="P2925" s="8"/>
    </row>
    <row r="2926" ht="12.75">
      <c r="P2926" s="8"/>
    </row>
    <row r="2927" ht="12.75">
      <c r="P2927" s="8"/>
    </row>
    <row r="2928" ht="12.75">
      <c r="P2928" s="8"/>
    </row>
    <row r="2929" ht="12.75">
      <c r="P2929" s="8"/>
    </row>
    <row r="2930" ht="12.75">
      <c r="P2930" s="8"/>
    </row>
    <row r="2931" ht="12.75">
      <c r="P2931" s="8"/>
    </row>
    <row r="2932" ht="12.75">
      <c r="P2932" s="8"/>
    </row>
    <row r="2933" ht="12.75">
      <c r="P2933" s="8"/>
    </row>
    <row r="2934" ht="12.75">
      <c r="P2934" s="8"/>
    </row>
    <row r="2935" ht="12.75">
      <c r="P2935" s="8"/>
    </row>
    <row r="2936" ht="12.75">
      <c r="P2936" s="8"/>
    </row>
    <row r="2937" ht="12.75">
      <c r="P2937" s="8"/>
    </row>
    <row r="2938" ht="12.75">
      <c r="P2938" s="8"/>
    </row>
    <row r="2939" ht="12.75">
      <c r="P2939" s="8"/>
    </row>
    <row r="2940" ht="12.75">
      <c r="P2940" s="8"/>
    </row>
    <row r="2941" ht="12.75">
      <c r="P2941" s="8"/>
    </row>
    <row r="2942" ht="12.75">
      <c r="P2942" s="8"/>
    </row>
    <row r="2943" ht="12.75">
      <c r="P2943" s="8"/>
    </row>
    <row r="2944" ht="12.75">
      <c r="P2944" s="8"/>
    </row>
    <row r="2945" ht="12.75">
      <c r="P2945" s="8"/>
    </row>
    <row r="2946" ht="12.75">
      <c r="P2946" s="8"/>
    </row>
    <row r="2947" ht="12.75">
      <c r="P2947" s="8"/>
    </row>
    <row r="2948" ht="12.75">
      <c r="P2948" s="8"/>
    </row>
    <row r="2949" ht="12.75">
      <c r="P2949" s="8"/>
    </row>
    <row r="2950" ht="12.75">
      <c r="P2950" s="8"/>
    </row>
    <row r="2951" ht="12.75">
      <c r="P2951" s="8"/>
    </row>
    <row r="2952" ht="12.75">
      <c r="P2952" s="8"/>
    </row>
    <row r="2953" ht="12.75">
      <c r="P2953" s="8"/>
    </row>
    <row r="2954" ht="12.75">
      <c r="P2954" s="8"/>
    </row>
    <row r="2955" ht="12.75">
      <c r="P2955" s="8"/>
    </row>
    <row r="2956" ht="12.75">
      <c r="P2956" s="8"/>
    </row>
    <row r="2957" ht="12.75">
      <c r="P2957" s="8"/>
    </row>
    <row r="2958" ht="12.75">
      <c r="P2958" s="8"/>
    </row>
    <row r="2959" ht="12.75">
      <c r="P2959" s="8"/>
    </row>
    <row r="2960" ht="12.75">
      <c r="P2960" s="8"/>
    </row>
    <row r="2961" ht="12.75">
      <c r="P2961" s="8"/>
    </row>
    <row r="2962" ht="12.75">
      <c r="P2962" s="8"/>
    </row>
    <row r="2963" ht="12.75">
      <c r="P2963" s="8"/>
    </row>
    <row r="2964" ht="12.75">
      <c r="P2964" s="8"/>
    </row>
    <row r="2965" ht="12.75">
      <c r="P2965" s="8"/>
    </row>
    <row r="2966" ht="12.75">
      <c r="P2966" s="8"/>
    </row>
    <row r="2967" ht="12.75">
      <c r="P2967" s="8"/>
    </row>
    <row r="2968" ht="12.75">
      <c r="P2968" s="8"/>
    </row>
    <row r="2969" ht="12.75">
      <c r="P2969" s="8"/>
    </row>
    <row r="2970" ht="12.75">
      <c r="P2970" s="8"/>
    </row>
    <row r="2971" ht="12.75">
      <c r="P2971" s="8"/>
    </row>
    <row r="2972" ht="12.75">
      <c r="P2972" s="8"/>
    </row>
    <row r="2973" ht="12.75">
      <c r="P2973" s="8"/>
    </row>
    <row r="2974" ht="12.75">
      <c r="P2974" s="8"/>
    </row>
    <row r="2975" ht="12.75">
      <c r="P2975" s="8"/>
    </row>
    <row r="2976" ht="12.75">
      <c r="P2976" s="8"/>
    </row>
    <row r="2977" ht="12.75">
      <c r="P2977" s="8"/>
    </row>
    <row r="2978" ht="12.75">
      <c r="P2978" s="8"/>
    </row>
    <row r="2979" ht="12.75">
      <c r="P2979" s="8"/>
    </row>
    <row r="2980" ht="12.75">
      <c r="P2980" s="8"/>
    </row>
    <row r="2981" ht="12.75">
      <c r="P2981" s="8"/>
    </row>
    <row r="2982" ht="12.75">
      <c r="P2982" s="8"/>
    </row>
    <row r="2983" ht="12.75">
      <c r="P2983" s="8"/>
    </row>
    <row r="2984" ht="12.75">
      <c r="P2984" s="8"/>
    </row>
    <row r="2985" ht="12.75">
      <c r="P2985" s="8"/>
    </row>
    <row r="2986" ht="12.75">
      <c r="P2986" s="8"/>
    </row>
    <row r="2987" ht="12.75">
      <c r="P2987" s="8"/>
    </row>
    <row r="2988" ht="12.75">
      <c r="P2988" s="8"/>
    </row>
    <row r="2989" ht="12.75">
      <c r="P2989" s="8"/>
    </row>
    <row r="2990" ht="12.75">
      <c r="P2990" s="8"/>
    </row>
    <row r="2991" ht="12.75">
      <c r="P2991" s="8"/>
    </row>
    <row r="2992" ht="12.75">
      <c r="P2992" s="8"/>
    </row>
    <row r="2993" ht="12.75">
      <c r="P2993" s="8"/>
    </row>
    <row r="2994" ht="12.75">
      <c r="P2994" s="8"/>
    </row>
    <row r="2995" ht="12.75">
      <c r="P2995" s="8"/>
    </row>
    <row r="2996" ht="12.75">
      <c r="P2996" s="8"/>
    </row>
    <row r="2997" ht="12.75">
      <c r="P2997" s="8"/>
    </row>
    <row r="2998" ht="12.75">
      <c r="P2998" s="8"/>
    </row>
    <row r="2999" ht="12.75">
      <c r="P2999" s="8"/>
    </row>
    <row r="3000" ht="12.75">
      <c r="P3000" s="8"/>
    </row>
    <row r="3001" ht="12.75">
      <c r="P3001" s="8"/>
    </row>
    <row r="3002" ht="12.75">
      <c r="P3002" s="8"/>
    </row>
    <row r="3003" ht="12.75">
      <c r="P3003" s="8"/>
    </row>
    <row r="3004" ht="12.75">
      <c r="P3004" s="8"/>
    </row>
    <row r="3005" ht="12.75">
      <c r="P3005" s="8"/>
    </row>
    <row r="3006" ht="12.75">
      <c r="P3006" s="8"/>
    </row>
    <row r="3007" ht="12.75">
      <c r="P3007" s="8"/>
    </row>
    <row r="3008" ht="12.75">
      <c r="P3008" s="8"/>
    </row>
    <row r="3009" ht="12.75">
      <c r="P3009" s="8"/>
    </row>
    <row r="3010" ht="12.75">
      <c r="P3010" s="8"/>
    </row>
    <row r="3011" ht="12.75">
      <c r="P3011" s="8"/>
    </row>
    <row r="3012" ht="12.75">
      <c r="P3012" s="8"/>
    </row>
    <row r="3013" ht="12.75">
      <c r="P3013" s="8"/>
    </row>
    <row r="3014" ht="12.75">
      <c r="P3014" s="8"/>
    </row>
    <row r="3015" ht="12.75">
      <c r="P3015" s="8"/>
    </row>
    <row r="3016" ht="12.75">
      <c r="P3016" s="8"/>
    </row>
    <row r="3017" ht="12.75">
      <c r="P3017" s="8"/>
    </row>
    <row r="3018" ht="12.75">
      <c r="P3018" s="8"/>
    </row>
    <row r="3019" ht="12.75">
      <c r="P3019" s="8"/>
    </row>
    <row r="3020" ht="12.75">
      <c r="P3020" s="8"/>
    </row>
    <row r="3021" ht="12.75">
      <c r="P3021" s="8"/>
    </row>
    <row r="3022" ht="12.75">
      <c r="P3022" s="8"/>
    </row>
    <row r="3023" ht="12.75">
      <c r="P3023" s="8"/>
    </row>
    <row r="3024" ht="12.75">
      <c r="P3024" s="8"/>
    </row>
    <row r="3025" ht="12.75">
      <c r="P3025" s="8"/>
    </row>
    <row r="3026" ht="12.75">
      <c r="P3026" s="8"/>
    </row>
    <row r="3027" ht="12.75">
      <c r="P3027" s="8"/>
    </row>
    <row r="3028" ht="12.75">
      <c r="P3028" s="8"/>
    </row>
    <row r="3029" ht="12.75">
      <c r="P3029" s="8"/>
    </row>
    <row r="3030" ht="12.75">
      <c r="P3030" s="8"/>
    </row>
    <row r="3031" ht="12.75">
      <c r="P3031" s="8"/>
    </row>
    <row r="3032" ht="12.75">
      <c r="P3032" s="8"/>
    </row>
    <row r="3033" ht="12.75">
      <c r="P3033" s="8"/>
    </row>
    <row r="3034" ht="12.75">
      <c r="P3034" s="8"/>
    </row>
    <row r="3035" ht="12.75">
      <c r="P3035" s="8"/>
    </row>
    <row r="3036" ht="12.75">
      <c r="P3036" s="8"/>
    </row>
    <row r="3037" ht="12.75">
      <c r="P3037" s="8"/>
    </row>
    <row r="3038" ht="12.75">
      <c r="P3038" s="8"/>
    </row>
    <row r="3039" ht="12.75">
      <c r="P3039" s="8"/>
    </row>
    <row r="3040" ht="12.75">
      <c r="P3040" s="8"/>
    </row>
    <row r="3041" ht="12.75">
      <c r="P3041" s="8"/>
    </row>
    <row r="3042" ht="12.75">
      <c r="P3042" s="8"/>
    </row>
    <row r="3043" ht="12.75">
      <c r="P3043" s="8"/>
    </row>
    <row r="3044" ht="12.75">
      <c r="P3044" s="8"/>
    </row>
    <row r="3045" ht="12.75">
      <c r="P3045" s="8"/>
    </row>
    <row r="3046" ht="12.75">
      <c r="P3046" s="8"/>
    </row>
    <row r="3047" ht="12.75">
      <c r="P3047" s="8"/>
    </row>
    <row r="3048" ht="12.75">
      <c r="P3048" s="8"/>
    </row>
    <row r="3049" ht="12.75">
      <c r="P3049" s="8"/>
    </row>
    <row r="3050" ht="12.75">
      <c r="P3050" s="8"/>
    </row>
    <row r="3051" ht="12.75">
      <c r="P3051" s="8"/>
    </row>
    <row r="3052" ht="12.75">
      <c r="P3052" s="8"/>
    </row>
    <row r="3053" ht="12.75">
      <c r="P3053" s="8"/>
    </row>
    <row r="3054" ht="12.75">
      <c r="P3054" s="8"/>
    </row>
    <row r="3055" ht="12.75">
      <c r="P3055" s="8"/>
    </row>
    <row r="3056" ht="12.75">
      <c r="P3056" s="8"/>
    </row>
    <row r="3057" ht="12.75">
      <c r="P3057" s="8"/>
    </row>
    <row r="3058" ht="12.75">
      <c r="P3058" s="8"/>
    </row>
    <row r="3059" ht="12.75">
      <c r="P3059" s="8"/>
    </row>
    <row r="3060" ht="12.75">
      <c r="P3060" s="8"/>
    </row>
    <row r="3061" ht="12.75">
      <c r="P3061" s="8"/>
    </row>
    <row r="3062" ht="12.75">
      <c r="P3062" s="8"/>
    </row>
    <row r="3063" ht="12.75">
      <c r="P3063" s="8"/>
    </row>
    <row r="3064" ht="12.75">
      <c r="P3064" s="8"/>
    </row>
    <row r="3065" ht="12.75">
      <c r="P3065" s="8"/>
    </row>
    <row r="3066" ht="12.75">
      <c r="P3066" s="8"/>
    </row>
    <row r="3067" ht="12.75">
      <c r="P3067" s="8"/>
    </row>
    <row r="3068" ht="12.75">
      <c r="P3068" s="8"/>
    </row>
    <row r="3069" ht="12.75">
      <c r="P3069" s="8"/>
    </row>
    <row r="3070" ht="12.75">
      <c r="P3070" s="8"/>
    </row>
    <row r="3071" ht="12.75">
      <c r="P3071" s="8"/>
    </row>
    <row r="3072" ht="12.75">
      <c r="P3072" s="8"/>
    </row>
    <row r="3073" ht="12.75">
      <c r="P3073" s="8"/>
    </row>
    <row r="3074" ht="12.75">
      <c r="P3074" s="8"/>
    </row>
    <row r="3075" ht="12.75">
      <c r="P3075" s="8"/>
    </row>
    <row r="3076" ht="12.75">
      <c r="P3076" s="8"/>
    </row>
    <row r="3077" ht="12.75">
      <c r="P3077" s="8"/>
    </row>
    <row r="3078" ht="12.75">
      <c r="P3078" s="8"/>
    </row>
    <row r="3079" ht="12.75">
      <c r="P3079" s="8"/>
    </row>
    <row r="3080" ht="12.75">
      <c r="P3080" s="8"/>
    </row>
    <row r="3081" ht="12.75">
      <c r="P3081" s="8"/>
    </row>
    <row r="3082" ht="12.75">
      <c r="P3082" s="8"/>
    </row>
    <row r="3083" ht="12.75">
      <c r="P3083" s="8"/>
    </row>
    <row r="3084" ht="12.75">
      <c r="P3084" s="8"/>
    </row>
    <row r="3085" ht="12.75">
      <c r="P3085" s="8"/>
    </row>
    <row r="3086" ht="12.75">
      <c r="P3086" s="8"/>
    </row>
    <row r="3087" ht="12.75">
      <c r="P3087" s="8"/>
    </row>
    <row r="3088" ht="12.75">
      <c r="P3088" s="8"/>
    </row>
    <row r="3089" ht="12.75">
      <c r="P3089" s="8"/>
    </row>
    <row r="3090" ht="12.75">
      <c r="P3090" s="8"/>
    </row>
    <row r="3091" ht="12.75">
      <c r="P3091" s="8"/>
    </row>
    <row r="3092" ht="12.75">
      <c r="P3092" s="8"/>
    </row>
    <row r="3093" ht="12.75">
      <c r="P3093" s="8"/>
    </row>
    <row r="3094" ht="12.75">
      <c r="P3094" s="8"/>
    </row>
    <row r="3095" ht="12.75">
      <c r="P3095" s="8"/>
    </row>
    <row r="3096" ht="12.75">
      <c r="P3096" s="8"/>
    </row>
    <row r="3097" ht="12.75">
      <c r="P3097" s="8"/>
    </row>
    <row r="3098" ht="12.75">
      <c r="P3098" s="8"/>
    </row>
    <row r="3099" ht="12.75">
      <c r="P3099" s="8"/>
    </row>
    <row r="3100" ht="12.75">
      <c r="P3100" s="8"/>
    </row>
    <row r="3101" ht="12.75">
      <c r="P3101" s="8"/>
    </row>
    <row r="3102" ht="12.75">
      <c r="P3102" s="8"/>
    </row>
    <row r="3103" ht="12.75">
      <c r="P3103" s="8"/>
    </row>
    <row r="3104" ht="12.75">
      <c r="P3104" s="8"/>
    </row>
    <row r="3105" ht="12.75">
      <c r="P3105" s="8"/>
    </row>
    <row r="3106" ht="12.75">
      <c r="P3106" s="8"/>
    </row>
    <row r="3107" ht="12.75">
      <c r="P3107" s="8"/>
    </row>
    <row r="3108" ht="12.75">
      <c r="P3108" s="8"/>
    </row>
    <row r="3109" ht="12.75">
      <c r="P3109" s="8"/>
    </row>
    <row r="3110" ht="12.75">
      <c r="P3110" s="8"/>
    </row>
    <row r="3111" ht="12.75">
      <c r="P3111" s="8"/>
    </row>
    <row r="3112" ht="12.75">
      <c r="P3112" s="8"/>
    </row>
    <row r="3113" ht="12.75">
      <c r="P3113" s="8"/>
    </row>
    <row r="3114" ht="12.75">
      <c r="P3114" s="8"/>
    </row>
    <row r="3115" ht="12.75">
      <c r="P3115" s="8"/>
    </row>
    <row r="3116" ht="12.75">
      <c r="P3116" s="8"/>
    </row>
    <row r="3117" ht="12.75">
      <c r="P3117" s="8"/>
    </row>
    <row r="3118" ht="12.75">
      <c r="P3118" s="8"/>
    </row>
    <row r="3119" ht="12.75">
      <c r="P3119" s="8"/>
    </row>
    <row r="3120" ht="12.75">
      <c r="P3120" s="8"/>
    </row>
    <row r="3121" ht="12.75">
      <c r="P3121" s="8"/>
    </row>
    <row r="3122" ht="12.75">
      <c r="P3122" s="8"/>
    </row>
    <row r="3123" ht="12.75">
      <c r="P3123" s="8"/>
    </row>
    <row r="3124" ht="12.75">
      <c r="P3124" s="8"/>
    </row>
    <row r="3125" ht="12.75">
      <c r="P3125" s="8"/>
    </row>
    <row r="3126" ht="12.75">
      <c r="P3126" s="8"/>
    </row>
    <row r="3127" ht="12.75">
      <c r="P3127" s="8"/>
    </row>
    <row r="3128" ht="12.75">
      <c r="P3128" s="8"/>
    </row>
    <row r="3129" ht="12.75">
      <c r="P3129" s="8"/>
    </row>
    <row r="3130" ht="12.75">
      <c r="P3130" s="8"/>
    </row>
    <row r="3131" ht="12.75">
      <c r="P3131" s="8"/>
    </row>
    <row r="3132" ht="12.75">
      <c r="P3132" s="8"/>
    </row>
    <row r="3133" ht="12.75">
      <c r="P3133" s="8"/>
    </row>
    <row r="3134" ht="12.75">
      <c r="P3134" s="8"/>
    </row>
    <row r="3135" ht="12.75">
      <c r="P3135" s="8"/>
    </row>
    <row r="3136" ht="12.75">
      <c r="P3136" s="8"/>
    </row>
    <row r="3137" ht="12.75">
      <c r="P3137" s="8"/>
    </row>
    <row r="3138" ht="12.75">
      <c r="P3138" s="8"/>
    </row>
    <row r="3139" ht="12.75">
      <c r="P3139" s="8"/>
    </row>
    <row r="3140" ht="12.75">
      <c r="P3140" s="8"/>
    </row>
    <row r="3141" ht="12.75">
      <c r="P3141" s="8"/>
    </row>
    <row r="3142" ht="12.75">
      <c r="P3142" s="8"/>
    </row>
    <row r="3143" ht="12.75">
      <c r="P3143" s="8"/>
    </row>
    <row r="3144" ht="12.75">
      <c r="P3144" s="8"/>
    </row>
    <row r="3145" ht="12.75">
      <c r="P3145" s="8"/>
    </row>
    <row r="3146" ht="12.75">
      <c r="P3146" s="8"/>
    </row>
    <row r="3147" ht="12.75">
      <c r="P3147" s="8"/>
    </row>
    <row r="3148" ht="12.75">
      <c r="P3148" s="8"/>
    </row>
    <row r="3149" ht="12.75">
      <c r="P3149" s="8"/>
    </row>
    <row r="3150" ht="12.75">
      <c r="P3150" s="8"/>
    </row>
    <row r="3151" ht="12.75">
      <c r="P3151" s="8"/>
    </row>
    <row r="3152" ht="12.75">
      <c r="P3152" s="8"/>
    </row>
    <row r="3153" ht="12.75">
      <c r="P3153" s="8"/>
    </row>
    <row r="3154" ht="12.75">
      <c r="P3154" s="8"/>
    </row>
    <row r="3155" ht="12.75">
      <c r="P3155" s="8"/>
    </row>
    <row r="3156" ht="12.75">
      <c r="P3156" s="8"/>
    </row>
    <row r="3157" ht="12.75">
      <c r="P3157" s="8"/>
    </row>
    <row r="3158" ht="12.75">
      <c r="P3158" s="8"/>
    </row>
    <row r="3159" ht="12.75">
      <c r="P3159" s="8"/>
    </row>
    <row r="3160" ht="12.75">
      <c r="P3160" s="8"/>
    </row>
    <row r="3161" ht="12.75">
      <c r="P3161" s="8"/>
    </row>
    <row r="3162" ht="12.75">
      <c r="P3162" s="8"/>
    </row>
    <row r="3163" ht="12.75">
      <c r="P3163" s="8"/>
    </row>
    <row r="3164" ht="12.75">
      <c r="P3164" s="8"/>
    </row>
    <row r="3165" ht="12.75">
      <c r="P3165" s="8"/>
    </row>
    <row r="3166" ht="12.75">
      <c r="P3166" s="8"/>
    </row>
    <row r="3167" ht="12.75">
      <c r="P3167" s="8"/>
    </row>
    <row r="3168" ht="12.75">
      <c r="P3168" s="8"/>
    </row>
    <row r="3169" ht="12.75">
      <c r="P3169" s="8"/>
    </row>
    <row r="3170" ht="12.75">
      <c r="P3170" s="8"/>
    </row>
    <row r="3171" ht="12.75">
      <c r="P3171" s="8"/>
    </row>
    <row r="3172" ht="12.75">
      <c r="P3172" s="8"/>
    </row>
    <row r="3173" ht="12.75">
      <c r="P3173" s="8"/>
    </row>
    <row r="3174" ht="12.75">
      <c r="P3174" s="8"/>
    </row>
    <row r="3175" ht="12.75">
      <c r="P3175" s="8"/>
    </row>
    <row r="3176" ht="12.75">
      <c r="P3176" s="8"/>
    </row>
    <row r="3177" ht="12.75">
      <c r="P3177" s="8"/>
    </row>
    <row r="3178" ht="12.75">
      <c r="P3178" s="8"/>
    </row>
    <row r="3179" ht="12.75">
      <c r="P3179" s="8"/>
    </row>
    <row r="3180" ht="12.75">
      <c r="P3180" s="8"/>
    </row>
    <row r="3181" ht="12.75">
      <c r="P3181" s="8"/>
    </row>
    <row r="3182" ht="12.75">
      <c r="P3182" s="8"/>
    </row>
    <row r="3183" ht="12.75">
      <c r="P3183" s="8"/>
    </row>
    <row r="3184" ht="12.75">
      <c r="P3184" s="8"/>
    </row>
    <row r="3185" ht="12.75">
      <c r="P3185" s="8"/>
    </row>
    <row r="3186" ht="12.75">
      <c r="P3186" s="8"/>
    </row>
    <row r="3187" ht="12.75">
      <c r="P3187" s="8"/>
    </row>
    <row r="3188" ht="12.75">
      <c r="P3188" s="8"/>
    </row>
    <row r="3189" ht="12.75">
      <c r="P3189" s="8"/>
    </row>
    <row r="3190" ht="12.75">
      <c r="P3190" s="8"/>
    </row>
    <row r="3191" ht="12.75">
      <c r="P3191" s="8"/>
    </row>
    <row r="3192" ht="12.75">
      <c r="P3192" s="8"/>
    </row>
    <row r="3193" ht="12.75">
      <c r="P3193" s="8"/>
    </row>
    <row r="3194" ht="12.75">
      <c r="P3194" s="8"/>
    </row>
    <row r="3195" ht="12.75">
      <c r="P3195" s="8"/>
    </row>
    <row r="3196" ht="12.75">
      <c r="P3196" s="8"/>
    </row>
    <row r="3197" ht="12.75">
      <c r="P3197" s="8"/>
    </row>
    <row r="3198" ht="12.75">
      <c r="P3198" s="8"/>
    </row>
    <row r="3199" ht="12.75">
      <c r="P3199" s="8"/>
    </row>
    <row r="3200" ht="12.75">
      <c r="P3200" s="8"/>
    </row>
    <row r="3201" ht="12.75">
      <c r="P3201" s="8"/>
    </row>
    <row r="3202" ht="12.75">
      <c r="P3202" s="8"/>
    </row>
    <row r="3203" ht="12.75">
      <c r="P3203" s="8"/>
    </row>
    <row r="3204" ht="12.75">
      <c r="P3204" s="8"/>
    </row>
    <row r="3205" ht="12.75">
      <c r="P3205" s="8"/>
    </row>
    <row r="3206" ht="12.75">
      <c r="P3206" s="8"/>
    </row>
    <row r="3207" ht="12.75">
      <c r="P3207" s="8"/>
    </row>
    <row r="3208" ht="12.75">
      <c r="P3208" s="8"/>
    </row>
    <row r="3209" ht="12.75">
      <c r="P3209" s="8"/>
    </row>
    <row r="3210" ht="12.75">
      <c r="P3210" s="8"/>
    </row>
    <row r="3211" ht="12.75">
      <c r="P3211" s="8"/>
    </row>
    <row r="3212" ht="12.75">
      <c r="P3212" s="8"/>
    </row>
    <row r="3213" ht="12.75">
      <c r="P3213" s="8"/>
    </row>
    <row r="3214" ht="12.75">
      <c r="P3214" s="8"/>
    </row>
    <row r="3215" ht="12.75">
      <c r="P3215" s="8"/>
    </row>
    <row r="3216" ht="12.75">
      <c r="P3216" s="8"/>
    </row>
    <row r="3217" ht="12.75">
      <c r="P3217" s="8"/>
    </row>
    <row r="3218" ht="12.75">
      <c r="P3218" s="8"/>
    </row>
    <row r="3219" ht="12.75">
      <c r="P3219" s="8"/>
    </row>
    <row r="3220" ht="12.75">
      <c r="P3220" s="8"/>
    </row>
    <row r="3221" ht="12.75">
      <c r="P3221" s="8"/>
    </row>
    <row r="3222" ht="12.75">
      <c r="P3222" s="8"/>
    </row>
    <row r="3223" ht="12.75">
      <c r="P3223" s="8"/>
    </row>
    <row r="3224" ht="12.75">
      <c r="P3224" s="8"/>
    </row>
    <row r="3225" ht="12.75">
      <c r="P3225" s="8"/>
    </row>
    <row r="3226" ht="12.75">
      <c r="P3226" s="8"/>
    </row>
    <row r="3227" ht="12.75">
      <c r="P3227" s="8"/>
    </row>
    <row r="3228" ht="12.75">
      <c r="P3228" s="8"/>
    </row>
    <row r="3229" ht="12.75">
      <c r="P3229" s="8"/>
    </row>
    <row r="3230" ht="12.75">
      <c r="P3230" s="8"/>
    </row>
    <row r="3231" ht="12.75">
      <c r="P3231" s="8"/>
    </row>
    <row r="3232" ht="12.75">
      <c r="P3232" s="8"/>
    </row>
    <row r="3233" ht="12.75">
      <c r="P3233" s="8"/>
    </row>
    <row r="3234" ht="12.75">
      <c r="P3234" s="8"/>
    </row>
    <row r="3235" ht="12.75">
      <c r="P3235" s="8"/>
    </row>
    <row r="3236" ht="12.75">
      <c r="P3236" s="8"/>
    </row>
    <row r="3237" ht="12.75">
      <c r="P3237" s="8"/>
    </row>
    <row r="3238" ht="12.75">
      <c r="P3238" s="8"/>
    </row>
    <row r="3239" ht="12.75">
      <c r="P3239" s="8"/>
    </row>
    <row r="3240" ht="12.75">
      <c r="P3240" s="8"/>
    </row>
    <row r="3241" ht="12.75">
      <c r="P3241" s="8"/>
    </row>
    <row r="3242" ht="12.75">
      <c r="P3242" s="8"/>
    </row>
    <row r="3243" ht="12.75">
      <c r="P3243" s="8"/>
    </row>
    <row r="3244" ht="12.75">
      <c r="P3244" s="8"/>
    </row>
    <row r="3245" ht="12.75">
      <c r="P3245" s="8"/>
    </row>
    <row r="3246" ht="12.75">
      <c r="P3246" s="8"/>
    </row>
    <row r="3247" ht="12.75">
      <c r="P3247" s="8"/>
    </row>
    <row r="3248" ht="12.75">
      <c r="P3248" s="8"/>
    </row>
    <row r="3249" ht="12.75">
      <c r="P3249" s="8"/>
    </row>
    <row r="3250" ht="12.75">
      <c r="P3250" s="8"/>
    </row>
    <row r="3251" ht="12.75">
      <c r="P3251" s="8"/>
    </row>
    <row r="3252" ht="12.75">
      <c r="P3252" s="8"/>
    </row>
    <row r="3253" ht="12.75">
      <c r="P3253" s="8"/>
    </row>
    <row r="3254" ht="12.75">
      <c r="P3254" s="8"/>
    </row>
    <row r="3255" ht="12.75">
      <c r="P3255" s="8"/>
    </row>
    <row r="3256" ht="12.75">
      <c r="P3256" s="8"/>
    </row>
    <row r="3257" ht="12.75">
      <c r="P3257" s="8"/>
    </row>
    <row r="3258" ht="12.75">
      <c r="P3258" s="8"/>
    </row>
    <row r="3259" ht="12.75">
      <c r="P3259" s="8"/>
    </row>
    <row r="3260" ht="12.75">
      <c r="P3260" s="8"/>
    </row>
    <row r="3261" ht="12.75">
      <c r="P3261" s="8"/>
    </row>
    <row r="3262" ht="12.75">
      <c r="P3262" s="8"/>
    </row>
    <row r="3263" ht="12.75">
      <c r="P3263" s="8"/>
    </row>
    <row r="3264" ht="12.75">
      <c r="P3264" s="8"/>
    </row>
    <row r="3265" ht="12.75">
      <c r="P3265" s="8"/>
    </row>
    <row r="3266" ht="12.75">
      <c r="P3266" s="8"/>
    </row>
    <row r="3267" ht="12.75">
      <c r="P3267" s="8"/>
    </row>
    <row r="3268" ht="12.75">
      <c r="P3268" s="8"/>
    </row>
    <row r="3269" ht="12.75">
      <c r="P3269" s="8"/>
    </row>
    <row r="3270" ht="12.75">
      <c r="P3270" s="8"/>
    </row>
    <row r="3271" ht="12.75">
      <c r="P3271" s="8"/>
    </row>
    <row r="3272" ht="12.75">
      <c r="P3272" s="8"/>
    </row>
    <row r="3273" ht="12.75">
      <c r="P3273" s="8"/>
    </row>
    <row r="3274" ht="12.75">
      <c r="P3274" s="8"/>
    </row>
    <row r="3275" ht="12.75">
      <c r="P3275" s="8"/>
    </row>
    <row r="3276" ht="12.75">
      <c r="P3276" s="8"/>
    </row>
    <row r="3277" ht="12.75">
      <c r="P3277" s="8"/>
    </row>
    <row r="3278" ht="12.75">
      <c r="P3278" s="8"/>
    </row>
    <row r="3279" ht="12.75">
      <c r="P3279" s="8"/>
    </row>
    <row r="3280" ht="12.75">
      <c r="P3280" s="8"/>
    </row>
    <row r="3281" ht="12.75">
      <c r="P3281" s="8"/>
    </row>
    <row r="3282" ht="12.75">
      <c r="P3282" s="8"/>
    </row>
    <row r="3283" ht="12.75">
      <c r="P3283" s="8"/>
    </row>
    <row r="3284" ht="12.75">
      <c r="P3284" s="8"/>
    </row>
    <row r="3285" ht="12.75">
      <c r="P3285" s="8"/>
    </row>
    <row r="3286" ht="12.75">
      <c r="P3286" s="8"/>
    </row>
    <row r="3287" ht="12.75">
      <c r="P3287" s="8"/>
    </row>
    <row r="3288" ht="12.75">
      <c r="P3288" s="8"/>
    </row>
    <row r="3289" ht="12.75">
      <c r="P3289" s="8"/>
    </row>
    <row r="3290" ht="12.75">
      <c r="P3290" s="8"/>
    </row>
    <row r="3291" ht="12.75">
      <c r="P3291" s="8"/>
    </row>
    <row r="3292" ht="12.75">
      <c r="P3292" s="8"/>
    </row>
    <row r="3293" ht="12.75">
      <c r="P3293" s="8"/>
    </row>
    <row r="3294" ht="12.75">
      <c r="P3294" s="8"/>
    </row>
    <row r="3295" ht="12.75">
      <c r="P3295" s="8"/>
    </row>
    <row r="3296" ht="12.75">
      <c r="P3296" s="8"/>
    </row>
    <row r="3297" ht="12.75">
      <c r="P3297" s="8"/>
    </row>
    <row r="3298" ht="12.75">
      <c r="P3298" s="8"/>
    </row>
    <row r="3299" ht="12.75">
      <c r="P3299" s="8"/>
    </row>
    <row r="3300" ht="12.75">
      <c r="P3300" s="8"/>
    </row>
    <row r="3301" ht="12.75">
      <c r="P3301" s="8"/>
    </row>
    <row r="3302" ht="12.75">
      <c r="P3302" s="8"/>
    </row>
    <row r="3303" ht="12.75">
      <c r="P3303" s="8"/>
    </row>
    <row r="3304" ht="12.75">
      <c r="P3304" s="8"/>
    </row>
    <row r="3305" ht="12.75">
      <c r="P3305" s="8"/>
    </row>
    <row r="3306" ht="12.75">
      <c r="P3306" s="8"/>
    </row>
    <row r="3307" ht="12.75">
      <c r="P3307" s="8"/>
    </row>
    <row r="3308" ht="12.75">
      <c r="P3308" s="8"/>
    </row>
    <row r="3309" ht="12.75">
      <c r="P3309" s="8"/>
    </row>
    <row r="3310" ht="12.75">
      <c r="P3310" s="8"/>
    </row>
    <row r="3311" ht="12.75">
      <c r="P3311" s="8"/>
    </row>
    <row r="3312" ht="12.75">
      <c r="P3312" s="8"/>
    </row>
    <row r="3313" ht="12.75">
      <c r="P3313" s="8"/>
    </row>
    <row r="3314" ht="12.75">
      <c r="P3314" s="8"/>
    </row>
    <row r="3315" ht="12.75">
      <c r="P3315" s="8"/>
    </row>
    <row r="3316" ht="12.75">
      <c r="P3316" s="8"/>
    </row>
    <row r="3317" ht="12.75">
      <c r="P3317" s="8"/>
    </row>
    <row r="3318" ht="12.75">
      <c r="P3318" s="8"/>
    </row>
    <row r="3319" ht="12.75">
      <c r="P3319" s="8"/>
    </row>
    <row r="3320" ht="12.75">
      <c r="P3320" s="8"/>
    </row>
    <row r="3321" ht="12.75">
      <c r="P3321" s="8"/>
    </row>
    <row r="3322" ht="12.75">
      <c r="P3322" s="8"/>
    </row>
    <row r="3323" ht="12.75">
      <c r="P3323" s="8"/>
    </row>
    <row r="3324" ht="12.75">
      <c r="P3324" s="8"/>
    </row>
    <row r="3325" ht="12.75">
      <c r="P3325" s="8"/>
    </row>
    <row r="3326" ht="12.75">
      <c r="P3326" s="8"/>
    </row>
    <row r="3327" ht="12.75">
      <c r="P3327" s="8"/>
    </row>
    <row r="3328" ht="12.75">
      <c r="P3328" s="8"/>
    </row>
    <row r="3329" ht="12.75">
      <c r="P3329" s="8"/>
    </row>
    <row r="3330" ht="12.75">
      <c r="P3330" s="8"/>
    </row>
    <row r="3331" ht="12.75">
      <c r="P3331" s="8"/>
    </row>
    <row r="3332" ht="12.75">
      <c r="P3332" s="8"/>
    </row>
    <row r="3333" ht="12.75">
      <c r="P3333" s="8"/>
    </row>
    <row r="3334" ht="12.75">
      <c r="P3334" s="8"/>
    </row>
    <row r="3335" ht="12.75">
      <c r="P3335" s="8"/>
    </row>
    <row r="3336" ht="12.75">
      <c r="P3336" s="8"/>
    </row>
    <row r="3337" ht="12.75">
      <c r="P3337" s="8"/>
    </row>
    <row r="3338" ht="12.75">
      <c r="P3338" s="8"/>
    </row>
    <row r="3339" ht="12.75">
      <c r="P3339" s="8"/>
    </row>
    <row r="3340" ht="12.75">
      <c r="P3340" s="8"/>
    </row>
    <row r="3341" ht="12.75">
      <c r="P3341" s="8"/>
    </row>
    <row r="3342" ht="12.75">
      <c r="P3342" s="8"/>
    </row>
    <row r="3343" ht="12.75">
      <c r="P3343" s="8"/>
    </row>
    <row r="3344" ht="12.75">
      <c r="P3344" s="8"/>
    </row>
    <row r="3345" ht="12.75">
      <c r="P3345" s="8"/>
    </row>
    <row r="3346" ht="12.75">
      <c r="P3346" s="8"/>
    </row>
    <row r="3347" ht="12.75">
      <c r="P3347" s="8"/>
    </row>
    <row r="3348" ht="12.75">
      <c r="P3348" s="8"/>
    </row>
    <row r="3349" ht="12.75">
      <c r="P3349" s="8"/>
    </row>
    <row r="3350" ht="12.75">
      <c r="P3350" s="8"/>
    </row>
    <row r="3351" ht="12.75">
      <c r="P3351" s="8"/>
    </row>
    <row r="3352" ht="12.75">
      <c r="P3352" s="8"/>
    </row>
    <row r="3353" ht="12.75">
      <c r="P3353" s="8"/>
    </row>
    <row r="3354" ht="12.75">
      <c r="P3354" s="8"/>
    </row>
    <row r="3355" ht="12.75">
      <c r="P3355" s="8"/>
    </row>
    <row r="3356" ht="12.75">
      <c r="P3356" s="8"/>
    </row>
    <row r="3357" ht="12.75">
      <c r="P3357" s="8"/>
    </row>
    <row r="3358" ht="12.75">
      <c r="P3358" s="8"/>
    </row>
    <row r="3359" ht="12.75">
      <c r="P3359" s="8"/>
    </row>
    <row r="3360" ht="12.75">
      <c r="P3360" s="8"/>
    </row>
    <row r="3361" ht="12.75">
      <c r="P3361" s="8"/>
    </row>
    <row r="3362" ht="12.75">
      <c r="P3362" s="8"/>
    </row>
    <row r="3363" ht="12.75">
      <c r="P3363" s="8"/>
    </row>
    <row r="3364" ht="12.75">
      <c r="P3364" s="8"/>
    </row>
    <row r="3365" ht="12.75">
      <c r="P3365" s="8"/>
    </row>
    <row r="3366" ht="12.75">
      <c r="P3366" s="8"/>
    </row>
    <row r="3367" ht="12.75">
      <c r="P3367" s="8"/>
    </row>
    <row r="3368" ht="12.75">
      <c r="P3368" s="8"/>
    </row>
    <row r="3369" ht="12.75">
      <c r="P3369" s="8"/>
    </row>
    <row r="3370" ht="12.75">
      <c r="P3370" s="8"/>
    </row>
    <row r="3371" ht="12.75">
      <c r="P3371" s="8"/>
    </row>
    <row r="3372" ht="12.75">
      <c r="P3372" s="8"/>
    </row>
    <row r="3373" ht="12.75">
      <c r="P3373" s="8"/>
    </row>
    <row r="3374" ht="12.75">
      <c r="P3374" s="8"/>
    </row>
    <row r="3375" ht="12.75">
      <c r="P3375" s="8"/>
    </row>
    <row r="3376" ht="12.75">
      <c r="P3376" s="8"/>
    </row>
    <row r="3377" ht="12.75">
      <c r="P3377" s="8"/>
    </row>
    <row r="3378" ht="12.75">
      <c r="P3378" s="8"/>
    </row>
    <row r="3379" ht="12.75">
      <c r="P3379" s="8"/>
    </row>
    <row r="3380" ht="12.75">
      <c r="P3380" s="8"/>
    </row>
    <row r="3381" ht="12.75">
      <c r="P3381" s="8"/>
    </row>
    <row r="3382" ht="12.75">
      <c r="P3382" s="8"/>
    </row>
    <row r="3383" ht="12.75">
      <c r="P3383" s="8"/>
    </row>
    <row r="3384" ht="12.75">
      <c r="P3384" s="8"/>
    </row>
    <row r="3385" ht="12.75">
      <c r="P3385" s="8"/>
    </row>
    <row r="3386" ht="12.75">
      <c r="P3386" s="8"/>
    </row>
    <row r="3387" ht="12.75">
      <c r="P3387" s="8"/>
    </row>
    <row r="3388" ht="12.75">
      <c r="P3388" s="8"/>
    </row>
    <row r="3389" ht="12.75">
      <c r="P3389" s="8"/>
    </row>
    <row r="3390" ht="12.75">
      <c r="P3390" s="8"/>
    </row>
    <row r="3391" ht="12.75">
      <c r="P3391" s="8"/>
    </row>
    <row r="3392" ht="12.75">
      <c r="P3392" s="8"/>
    </row>
    <row r="3393" ht="12.75">
      <c r="P3393" s="8"/>
    </row>
    <row r="3394" ht="12.75">
      <c r="P3394" s="8"/>
    </row>
    <row r="3395" ht="12.75">
      <c r="P3395" s="8"/>
    </row>
    <row r="3396" ht="12.75">
      <c r="P3396" s="8"/>
    </row>
    <row r="3397" ht="12.75">
      <c r="P3397" s="8"/>
    </row>
    <row r="3398" ht="12.75">
      <c r="P3398" s="8"/>
    </row>
    <row r="3399" ht="12.75">
      <c r="P3399" s="8"/>
    </row>
    <row r="3400" ht="12.75">
      <c r="P3400" s="8"/>
    </row>
    <row r="3401" ht="12.75">
      <c r="P3401" s="8"/>
    </row>
    <row r="3402" ht="12.75">
      <c r="P3402" s="8"/>
    </row>
    <row r="3403" ht="12.75">
      <c r="P3403" s="8"/>
    </row>
    <row r="3404" ht="12.75">
      <c r="P3404" s="8"/>
    </row>
    <row r="3405" ht="12.75">
      <c r="P3405" s="8"/>
    </row>
    <row r="3406" ht="12.75">
      <c r="P3406" s="8"/>
    </row>
    <row r="3407" ht="12.75">
      <c r="P3407" s="8"/>
    </row>
    <row r="3408" ht="12.75">
      <c r="P3408" s="8"/>
    </row>
    <row r="3409" ht="12.75">
      <c r="P3409" s="8"/>
    </row>
    <row r="3410" ht="12.75">
      <c r="P3410" s="8"/>
    </row>
    <row r="3411" ht="12.75">
      <c r="P3411" s="8"/>
    </row>
    <row r="3412" ht="12.75">
      <c r="P3412" s="8"/>
    </row>
    <row r="3413" ht="12.75">
      <c r="P3413" s="8"/>
    </row>
    <row r="3414" ht="12.75">
      <c r="P3414" s="8"/>
    </row>
    <row r="3415" ht="12.75">
      <c r="P3415" s="8"/>
    </row>
    <row r="3416" ht="12.75">
      <c r="P3416" s="8"/>
    </row>
    <row r="3417" ht="12.75">
      <c r="P3417" s="8"/>
    </row>
    <row r="3418" ht="12.75">
      <c r="P3418" s="8"/>
    </row>
    <row r="3419" ht="12.75">
      <c r="P3419" s="8"/>
    </row>
    <row r="3420" ht="12.75">
      <c r="P3420" s="8"/>
    </row>
    <row r="3421" ht="12.75">
      <c r="P3421" s="8"/>
    </row>
    <row r="3422" ht="12.75">
      <c r="P3422" s="8"/>
    </row>
    <row r="3423" ht="12.75">
      <c r="P3423" s="8"/>
    </row>
    <row r="3424" ht="12.75">
      <c r="P3424" s="8"/>
    </row>
    <row r="3425" ht="12.75">
      <c r="P3425" s="8"/>
    </row>
    <row r="3426" ht="12.75">
      <c r="P3426" s="8"/>
    </row>
    <row r="3427" ht="12.75">
      <c r="P3427" s="8"/>
    </row>
    <row r="3428" ht="12.75">
      <c r="P3428" s="8"/>
    </row>
    <row r="3429" ht="12.75">
      <c r="P3429" s="8"/>
    </row>
    <row r="3430" ht="12.75">
      <c r="P3430" s="8"/>
    </row>
    <row r="3431" ht="12.75">
      <c r="P3431" s="8"/>
    </row>
    <row r="3432" ht="12.75">
      <c r="P3432" s="8"/>
    </row>
    <row r="3433" ht="12.75">
      <c r="P3433" s="8"/>
    </row>
    <row r="3434" ht="12.75">
      <c r="P3434" s="8"/>
    </row>
    <row r="3435" ht="12.75">
      <c r="P3435" s="8"/>
    </row>
    <row r="3436" ht="12.75">
      <c r="P3436" s="8"/>
    </row>
    <row r="3437" ht="12.75">
      <c r="P3437" s="8"/>
    </row>
    <row r="3438" ht="12.75">
      <c r="P3438" s="8"/>
    </row>
    <row r="3439" ht="12.75">
      <c r="P3439" s="8"/>
    </row>
    <row r="3440" ht="12.75">
      <c r="P3440" s="8"/>
    </row>
    <row r="3441" ht="12.75">
      <c r="P3441" s="8"/>
    </row>
    <row r="3442" ht="12.75">
      <c r="P3442" s="8"/>
    </row>
    <row r="3443" ht="12.75">
      <c r="P3443" s="8"/>
    </row>
    <row r="3444" ht="12.75">
      <c r="P3444" s="8"/>
    </row>
    <row r="3445" ht="12.75">
      <c r="P3445" s="8"/>
    </row>
    <row r="3446" ht="12.75">
      <c r="P3446" s="8"/>
    </row>
    <row r="3447" ht="12.75">
      <c r="P3447" s="8"/>
    </row>
    <row r="3448" ht="12.75">
      <c r="P3448" s="8"/>
    </row>
    <row r="3449" ht="12.75">
      <c r="P3449" s="8"/>
    </row>
    <row r="3450" ht="12.75">
      <c r="P3450" s="8"/>
    </row>
    <row r="3451" ht="12.75">
      <c r="P3451" s="8"/>
    </row>
    <row r="3452" ht="12.75">
      <c r="P3452" s="8"/>
    </row>
    <row r="3453" ht="12.75">
      <c r="P3453" s="8"/>
    </row>
    <row r="3454" ht="12.75">
      <c r="P3454" s="8"/>
    </row>
    <row r="3455" ht="12.75">
      <c r="P3455" s="8"/>
    </row>
    <row r="3456" ht="12.75">
      <c r="P3456" s="8"/>
    </row>
    <row r="3457" ht="12.75">
      <c r="P3457" s="8"/>
    </row>
    <row r="3458" ht="12.75">
      <c r="P3458" s="8"/>
    </row>
    <row r="3459" ht="12.75">
      <c r="P3459" s="8"/>
    </row>
    <row r="3460" ht="12.75">
      <c r="P3460" s="8"/>
    </row>
    <row r="3461" ht="12.75">
      <c r="P3461" s="8"/>
    </row>
    <row r="3462" ht="12.75">
      <c r="P3462" s="8"/>
    </row>
    <row r="3463" ht="12.75">
      <c r="P3463" s="8"/>
    </row>
    <row r="3464" ht="12.75">
      <c r="P3464" s="8"/>
    </row>
    <row r="3465" ht="12.75">
      <c r="P3465" s="8"/>
    </row>
    <row r="3466" ht="12.75">
      <c r="P3466" s="8"/>
    </row>
    <row r="3467" ht="12.75">
      <c r="P3467" s="8"/>
    </row>
    <row r="3468" ht="12.75">
      <c r="P3468" s="8"/>
    </row>
    <row r="3469" ht="12.75">
      <c r="P3469" s="8"/>
    </row>
    <row r="3470" ht="12.75">
      <c r="P3470" s="8"/>
    </row>
    <row r="3471" ht="12.75">
      <c r="P3471" s="8"/>
    </row>
    <row r="3472" ht="12.75">
      <c r="P3472" s="8"/>
    </row>
    <row r="3473" ht="12.75">
      <c r="P3473" s="8"/>
    </row>
    <row r="3474" ht="12.75">
      <c r="P3474" s="8"/>
    </row>
    <row r="3475" ht="12.75">
      <c r="P3475" s="8"/>
    </row>
    <row r="3476" ht="12.75">
      <c r="P3476" s="8"/>
    </row>
    <row r="3477" ht="12.75">
      <c r="P3477" s="8"/>
    </row>
    <row r="3478" ht="12.75">
      <c r="P3478" s="8"/>
    </row>
    <row r="3479" ht="12.75">
      <c r="P3479" s="8"/>
    </row>
    <row r="3480" ht="12.75">
      <c r="P3480" s="8"/>
    </row>
    <row r="3481" ht="12.75">
      <c r="P3481" s="8"/>
    </row>
    <row r="3482" ht="12.75">
      <c r="P3482" s="8"/>
    </row>
    <row r="3483" ht="12.75">
      <c r="P3483" s="8"/>
    </row>
    <row r="3484" ht="12.75">
      <c r="P3484" s="8"/>
    </row>
    <row r="3485" ht="12.75">
      <c r="P3485" s="8"/>
    </row>
    <row r="3486" ht="12.75">
      <c r="P3486" s="8"/>
    </row>
    <row r="3487" ht="12.75">
      <c r="P3487" s="8"/>
    </row>
    <row r="3488" ht="12.75">
      <c r="P3488" s="8"/>
    </row>
    <row r="3489" ht="12.75">
      <c r="P3489" s="8"/>
    </row>
    <row r="3490" ht="12.75">
      <c r="P3490" s="8"/>
    </row>
    <row r="3491" ht="12.75">
      <c r="P3491" s="8"/>
    </row>
    <row r="3492" ht="12.75">
      <c r="P3492" s="8"/>
    </row>
    <row r="3493" ht="12.75">
      <c r="P3493" s="8"/>
    </row>
    <row r="3494" ht="12.75">
      <c r="P3494" s="8"/>
    </row>
    <row r="3495" ht="12.75">
      <c r="P3495" s="8"/>
    </row>
    <row r="3496" ht="12.75">
      <c r="P3496" s="8"/>
    </row>
    <row r="3497" ht="12.75">
      <c r="P3497" s="8"/>
    </row>
    <row r="3498" ht="12.75">
      <c r="P3498" s="8"/>
    </row>
    <row r="3499" ht="12.75">
      <c r="P3499" s="8"/>
    </row>
    <row r="3500" ht="12.75">
      <c r="P3500" s="8"/>
    </row>
    <row r="3501" ht="12.75">
      <c r="P3501" s="8"/>
    </row>
    <row r="3502" ht="12.75">
      <c r="P3502" s="8"/>
    </row>
    <row r="3503" ht="12.75">
      <c r="P3503" s="8"/>
    </row>
    <row r="3504" ht="12.75">
      <c r="P3504" s="8"/>
    </row>
    <row r="3505" ht="12.75">
      <c r="P3505" s="8"/>
    </row>
    <row r="3506" ht="12.75">
      <c r="P3506" s="8"/>
    </row>
    <row r="3507" ht="12.75">
      <c r="P3507" s="8"/>
    </row>
    <row r="3508" ht="12.75">
      <c r="P3508" s="8"/>
    </row>
    <row r="3509" ht="12.75">
      <c r="P3509" s="8"/>
    </row>
    <row r="3510" ht="12.75">
      <c r="P3510" s="8"/>
    </row>
    <row r="3511" ht="12.75">
      <c r="P3511" s="8"/>
    </row>
    <row r="3512" ht="12.75">
      <c r="P3512" s="8"/>
    </row>
    <row r="3513" ht="12.75">
      <c r="P3513" s="8"/>
    </row>
    <row r="3514" ht="12.75">
      <c r="P3514" s="8"/>
    </row>
    <row r="3515" ht="12.75">
      <c r="P3515" s="8"/>
    </row>
    <row r="3516" ht="12.75">
      <c r="P3516" s="8"/>
    </row>
    <row r="3517" ht="12.75">
      <c r="P3517" s="8"/>
    </row>
    <row r="3518" ht="12.75">
      <c r="P3518" s="8"/>
    </row>
    <row r="3519" ht="12.75">
      <c r="P3519" s="8"/>
    </row>
    <row r="3520" ht="12.75">
      <c r="P3520" s="8"/>
    </row>
    <row r="3521" ht="12.75">
      <c r="P3521" s="8"/>
    </row>
    <row r="3522" ht="12.75">
      <c r="P3522" s="8"/>
    </row>
    <row r="3523" ht="12.75">
      <c r="P3523" s="8"/>
    </row>
    <row r="3524" ht="12.75">
      <c r="P3524" s="8"/>
    </row>
    <row r="3525" ht="12.75">
      <c r="P3525" s="8"/>
    </row>
    <row r="3526" ht="12.75">
      <c r="P3526" s="8"/>
    </row>
    <row r="3527" ht="12.75">
      <c r="P3527" s="8"/>
    </row>
    <row r="3528" ht="12.75">
      <c r="P3528" s="8"/>
    </row>
    <row r="3529" ht="12.75">
      <c r="P3529" s="8"/>
    </row>
    <row r="3530" ht="12.75">
      <c r="P3530" s="8"/>
    </row>
    <row r="3531" ht="12.75">
      <c r="P3531" s="8"/>
    </row>
    <row r="3532" ht="12.75">
      <c r="P3532" s="8"/>
    </row>
    <row r="3533" ht="12.75">
      <c r="P3533" s="8"/>
    </row>
    <row r="3534" ht="12.75">
      <c r="P3534" s="8"/>
    </row>
    <row r="3535" ht="12.75">
      <c r="P3535" s="8"/>
    </row>
    <row r="3536" ht="12.75">
      <c r="P3536" s="8"/>
    </row>
    <row r="3537" ht="12.75">
      <c r="P3537" s="8"/>
    </row>
    <row r="3538" ht="12.75">
      <c r="P3538" s="8"/>
    </row>
    <row r="3539" ht="12.75">
      <c r="P3539" s="8"/>
    </row>
    <row r="3540" ht="12.75">
      <c r="P3540" s="8"/>
    </row>
    <row r="3541" ht="12.75">
      <c r="P3541" s="8"/>
    </row>
    <row r="3542" ht="12.75">
      <c r="P3542" s="8"/>
    </row>
    <row r="3543" ht="12.75">
      <c r="P3543" s="8"/>
    </row>
    <row r="3544" ht="12.75">
      <c r="P3544" s="8"/>
    </row>
    <row r="3545" ht="12.75">
      <c r="P3545" s="8"/>
    </row>
    <row r="3546" ht="12.75">
      <c r="P3546" s="8"/>
    </row>
    <row r="3547" ht="12.75">
      <c r="P3547" s="8"/>
    </row>
    <row r="3548" ht="12.75">
      <c r="P3548" s="8"/>
    </row>
    <row r="3549" ht="12.75">
      <c r="P3549" s="8"/>
    </row>
    <row r="3550" ht="12.75">
      <c r="P3550" s="8"/>
    </row>
    <row r="3551" ht="12.75">
      <c r="P3551" s="8"/>
    </row>
    <row r="3552" ht="12.75">
      <c r="P3552" s="8"/>
    </row>
    <row r="3553" ht="12.75">
      <c r="P3553" s="8"/>
    </row>
    <row r="3554" ht="12.75">
      <c r="P3554" s="8"/>
    </row>
    <row r="3555" ht="12.75">
      <c r="P3555" s="8"/>
    </row>
    <row r="3556" ht="12.75">
      <c r="P3556" s="8"/>
    </row>
    <row r="3557" ht="12.75">
      <c r="P3557" s="8"/>
    </row>
    <row r="3558" ht="12.75">
      <c r="P3558" s="8"/>
    </row>
    <row r="3559" ht="12.75">
      <c r="P3559" s="8"/>
    </row>
    <row r="3560" ht="12.75">
      <c r="P3560" s="8"/>
    </row>
    <row r="3561" ht="12.75">
      <c r="P3561" s="8"/>
    </row>
    <row r="3562" ht="12.75">
      <c r="P3562" s="8"/>
    </row>
    <row r="3563" ht="12.75">
      <c r="P3563" s="8"/>
    </row>
    <row r="3564" ht="12.75">
      <c r="P3564" s="8"/>
    </row>
    <row r="3565" ht="12.75">
      <c r="P3565" s="8"/>
    </row>
    <row r="3566" ht="12.75">
      <c r="P3566" s="8"/>
    </row>
    <row r="3567" ht="12.75">
      <c r="P3567" s="8"/>
    </row>
    <row r="3568" ht="12.75">
      <c r="P3568" s="8"/>
    </row>
    <row r="3569" ht="12.75">
      <c r="P3569" s="8"/>
    </row>
    <row r="3570" ht="12.75">
      <c r="P3570" s="8"/>
    </row>
    <row r="3571" ht="12.75">
      <c r="P3571" s="8"/>
    </row>
    <row r="3572" ht="12.75">
      <c r="P3572" s="8"/>
    </row>
    <row r="3573" ht="12.75">
      <c r="P3573" s="8"/>
    </row>
    <row r="3574" ht="12.75">
      <c r="P3574" s="8"/>
    </row>
    <row r="3575" ht="12.75">
      <c r="P3575" s="8"/>
    </row>
    <row r="3576" ht="12.75">
      <c r="P3576" s="8"/>
    </row>
    <row r="3577" ht="12.75">
      <c r="P3577" s="8"/>
    </row>
    <row r="3578" ht="12.75">
      <c r="P3578" s="8"/>
    </row>
    <row r="3579" ht="12.75">
      <c r="P3579" s="8"/>
    </row>
    <row r="3580" ht="12.75">
      <c r="P3580" s="8"/>
    </row>
    <row r="3581" ht="12.75">
      <c r="P3581" s="8"/>
    </row>
    <row r="3582" ht="12.75">
      <c r="P3582" s="8"/>
    </row>
    <row r="3583" ht="12.75">
      <c r="P3583" s="8"/>
    </row>
    <row r="3584" ht="12.75">
      <c r="P3584" s="8"/>
    </row>
    <row r="3585" ht="12.75">
      <c r="P3585" s="8"/>
    </row>
    <row r="3586" ht="12.75">
      <c r="P3586" s="8"/>
    </row>
    <row r="3587" ht="12.75">
      <c r="P3587" s="8"/>
    </row>
    <row r="3588" ht="12.75">
      <c r="P3588" s="8"/>
    </row>
    <row r="3589" ht="12.75">
      <c r="P3589" s="8"/>
    </row>
    <row r="3590" ht="12.75">
      <c r="P3590" s="8"/>
    </row>
    <row r="3591" ht="12.75">
      <c r="P3591" s="8"/>
    </row>
    <row r="3592" ht="12.75">
      <c r="P3592" s="8"/>
    </row>
    <row r="3593" ht="12.75">
      <c r="P3593" s="8"/>
    </row>
    <row r="3594" ht="12.75">
      <c r="P3594" s="8"/>
    </row>
    <row r="3595" ht="12.75">
      <c r="P3595" s="8"/>
    </row>
    <row r="3596" ht="12.75">
      <c r="P3596" s="8"/>
    </row>
    <row r="3597" ht="12.75">
      <c r="P3597" s="8"/>
    </row>
    <row r="3598" ht="12.75">
      <c r="P3598" s="8"/>
    </row>
    <row r="3599" ht="12.75">
      <c r="P3599" s="8"/>
    </row>
    <row r="3600" ht="12.75">
      <c r="P3600" s="8"/>
    </row>
    <row r="3601" ht="12.75">
      <c r="P3601" s="8"/>
    </row>
    <row r="3602" ht="12.75">
      <c r="P3602" s="8"/>
    </row>
    <row r="3603" ht="12.75">
      <c r="P3603" s="8"/>
    </row>
    <row r="3604" ht="12.75">
      <c r="P3604" s="8"/>
    </row>
    <row r="3605" ht="12.75">
      <c r="P3605" s="8"/>
    </row>
    <row r="3606" ht="12.75">
      <c r="P3606" s="8"/>
    </row>
    <row r="3607" ht="12.75">
      <c r="P3607" s="8"/>
    </row>
    <row r="3608" ht="12.75">
      <c r="P3608" s="8"/>
    </row>
    <row r="3609" ht="12.75">
      <c r="P3609" s="8"/>
    </row>
    <row r="3610" ht="12.75">
      <c r="P3610" s="8"/>
    </row>
    <row r="3611" ht="12.75">
      <c r="P3611" s="8"/>
    </row>
    <row r="3612" ht="12.75">
      <c r="P3612" s="8"/>
    </row>
    <row r="3613" ht="12.75">
      <c r="P3613" s="8"/>
    </row>
    <row r="3614" ht="12.75">
      <c r="P3614" s="8"/>
    </row>
    <row r="3615" ht="12.75">
      <c r="P3615" s="8"/>
    </row>
    <row r="3616" ht="12.75">
      <c r="P3616" s="8"/>
    </row>
    <row r="3617" ht="12.75">
      <c r="P3617" s="8"/>
    </row>
    <row r="3618" ht="12.75">
      <c r="P3618" s="8"/>
    </row>
    <row r="3619" ht="12.75">
      <c r="P3619" s="8"/>
    </row>
    <row r="3620" ht="12.75">
      <c r="P3620" s="8"/>
    </row>
    <row r="3621" ht="12.75">
      <c r="P3621" s="8"/>
    </row>
    <row r="3622" ht="12.75">
      <c r="P3622" s="8"/>
    </row>
    <row r="3623" ht="12.75">
      <c r="P3623" s="8"/>
    </row>
    <row r="3624" ht="12.75">
      <c r="P3624" s="8"/>
    </row>
    <row r="3625" ht="12.75">
      <c r="P3625" s="8"/>
    </row>
    <row r="3626" ht="12.75">
      <c r="P3626" s="8"/>
    </row>
    <row r="3627" ht="12.75">
      <c r="P3627" s="8"/>
    </row>
    <row r="3628" ht="12.75">
      <c r="P3628" s="8"/>
    </row>
    <row r="3629" ht="12.75">
      <c r="P3629" s="8"/>
    </row>
    <row r="3630" ht="12.75">
      <c r="P3630" s="8"/>
    </row>
    <row r="3631" ht="12.75">
      <c r="P3631" s="8"/>
    </row>
    <row r="3632" ht="12.75">
      <c r="P3632" s="8"/>
    </row>
    <row r="3633" ht="12.75">
      <c r="P3633" s="8"/>
    </row>
    <row r="3634" ht="12.75">
      <c r="P3634" s="8"/>
    </row>
    <row r="3635" ht="12.75">
      <c r="P3635" s="8"/>
    </row>
    <row r="3636" ht="12.75">
      <c r="P3636" s="8"/>
    </row>
    <row r="3637" ht="12.75">
      <c r="P3637" s="8"/>
    </row>
    <row r="3638" ht="12.75">
      <c r="P3638" s="8"/>
    </row>
    <row r="3639" ht="12.75">
      <c r="P3639" s="8"/>
    </row>
    <row r="3640" ht="12.75">
      <c r="P3640" s="8"/>
    </row>
    <row r="3641" ht="12.75">
      <c r="P3641" s="8"/>
    </row>
    <row r="3642" ht="12.75">
      <c r="P3642" s="8"/>
    </row>
    <row r="3643" ht="12.75">
      <c r="P3643" s="8"/>
    </row>
    <row r="3644" ht="12.75">
      <c r="P3644" s="8"/>
    </row>
    <row r="3645" ht="12.75">
      <c r="P3645" s="8"/>
    </row>
    <row r="3646" ht="12.75">
      <c r="P3646" s="8"/>
    </row>
    <row r="3647" ht="12.75">
      <c r="P3647" s="8"/>
    </row>
    <row r="3648" ht="12.75">
      <c r="P3648" s="8"/>
    </row>
    <row r="3649" ht="12.75">
      <c r="P3649" s="8"/>
    </row>
    <row r="3650" ht="12.75">
      <c r="P3650" s="8"/>
    </row>
    <row r="3651" ht="12.75">
      <c r="P3651" s="8"/>
    </row>
    <row r="3652" ht="12.75">
      <c r="P3652" s="8"/>
    </row>
    <row r="3653" ht="12.75">
      <c r="P3653" s="8"/>
    </row>
    <row r="3654" ht="12.75">
      <c r="P3654" s="8"/>
    </row>
    <row r="3655" ht="12.75">
      <c r="P3655" s="8"/>
    </row>
    <row r="3656" ht="12.75">
      <c r="P3656" s="8"/>
    </row>
    <row r="3657" ht="12.75">
      <c r="P3657" s="8"/>
    </row>
    <row r="3658" ht="12.75">
      <c r="P3658" s="8"/>
    </row>
    <row r="3659" ht="12.75">
      <c r="P3659" s="8"/>
    </row>
    <row r="3660" ht="12.75">
      <c r="P3660" s="8"/>
    </row>
    <row r="3661" ht="12.75">
      <c r="P3661" s="8"/>
    </row>
    <row r="3662" ht="12.75">
      <c r="P3662" s="8"/>
    </row>
    <row r="3663" ht="12.75">
      <c r="P3663" s="8"/>
    </row>
    <row r="3664" ht="12.75">
      <c r="P3664" s="8"/>
    </row>
    <row r="3665" ht="12.75">
      <c r="P3665" s="8"/>
    </row>
    <row r="3666" ht="12.75">
      <c r="P3666" s="8"/>
    </row>
    <row r="3667" ht="12.75">
      <c r="P3667" s="8"/>
    </row>
    <row r="3668" ht="12.75">
      <c r="P3668" s="8"/>
    </row>
    <row r="3669" ht="12.75">
      <c r="P3669" s="8"/>
    </row>
    <row r="3670" ht="12.75">
      <c r="P3670" s="8"/>
    </row>
    <row r="3671" ht="12.75">
      <c r="P3671" s="8"/>
    </row>
    <row r="3672" ht="12.75">
      <c r="P3672" s="8"/>
    </row>
    <row r="3673" ht="12.75">
      <c r="P3673" s="8"/>
    </row>
    <row r="3674" ht="12.75">
      <c r="P3674" s="8"/>
    </row>
    <row r="3675" ht="12.75">
      <c r="P3675" s="8"/>
    </row>
    <row r="3676" ht="12.75">
      <c r="P3676" s="8"/>
    </row>
    <row r="3677" ht="12.75">
      <c r="P3677" s="8"/>
    </row>
    <row r="3678" ht="12.75">
      <c r="P3678" s="8"/>
    </row>
    <row r="3679" ht="12.75">
      <c r="P3679" s="8"/>
    </row>
    <row r="3680" ht="12.75">
      <c r="P3680" s="8"/>
    </row>
    <row r="3681" ht="12.75">
      <c r="P3681" s="8"/>
    </row>
    <row r="3682" ht="12.75">
      <c r="P3682" s="8"/>
    </row>
    <row r="3683" ht="12.75">
      <c r="P3683" s="8"/>
    </row>
    <row r="3684" ht="12.75">
      <c r="P3684" s="8"/>
    </row>
    <row r="3685" ht="12.75">
      <c r="P3685" s="8"/>
    </row>
    <row r="3686" ht="12.75">
      <c r="P3686" s="8"/>
    </row>
    <row r="3687" ht="12.75">
      <c r="P3687" s="8"/>
    </row>
    <row r="3688" ht="12.75">
      <c r="P3688" s="8"/>
    </row>
    <row r="3689" ht="12.75">
      <c r="P3689" s="8"/>
    </row>
    <row r="3690" ht="12.75">
      <c r="P3690" s="8"/>
    </row>
    <row r="3691" ht="12.75">
      <c r="P3691" s="8"/>
    </row>
    <row r="3692" ht="12.75">
      <c r="P3692" s="8"/>
    </row>
    <row r="3693" ht="12.75">
      <c r="P3693" s="8"/>
    </row>
    <row r="3694" ht="12.75">
      <c r="P3694" s="8"/>
    </row>
    <row r="3695" ht="12.75">
      <c r="P3695" s="8"/>
    </row>
    <row r="3696" ht="12.75">
      <c r="P3696" s="8"/>
    </row>
    <row r="3697" ht="12.75">
      <c r="P3697" s="8"/>
    </row>
    <row r="3698" ht="12.75">
      <c r="P3698" s="8"/>
    </row>
    <row r="3699" ht="12.75">
      <c r="P3699" s="8"/>
    </row>
    <row r="3700" ht="12.75">
      <c r="P3700" s="8"/>
    </row>
    <row r="3701" ht="12.75">
      <c r="P3701" s="8"/>
    </row>
    <row r="3702" ht="12.75">
      <c r="P3702" s="8"/>
    </row>
    <row r="3703" ht="12.75">
      <c r="P3703" s="8"/>
    </row>
    <row r="3704" ht="12.75">
      <c r="P3704" s="8"/>
    </row>
    <row r="3705" ht="12.75">
      <c r="P3705" s="8"/>
    </row>
    <row r="3706" ht="12.75">
      <c r="P3706" s="8"/>
    </row>
    <row r="3707" ht="12.75">
      <c r="P3707" s="8"/>
    </row>
    <row r="3708" ht="12.75">
      <c r="P3708" s="8"/>
    </row>
    <row r="3709" ht="12.75">
      <c r="P3709" s="8"/>
    </row>
    <row r="3710" ht="12.75">
      <c r="P3710" s="8"/>
    </row>
    <row r="3711" ht="12.75">
      <c r="P3711" s="8"/>
    </row>
    <row r="3712" ht="12.75">
      <c r="P3712" s="8"/>
    </row>
    <row r="3713" ht="12.75">
      <c r="P3713" s="8"/>
    </row>
    <row r="3714" ht="12.75">
      <c r="P3714" s="8"/>
    </row>
    <row r="3715" ht="12.75">
      <c r="P3715" s="8"/>
    </row>
    <row r="3716" ht="12.75">
      <c r="P3716" s="8"/>
    </row>
    <row r="3717" ht="12.75">
      <c r="P3717" s="8"/>
    </row>
    <row r="3718" ht="12.75">
      <c r="P3718" s="8"/>
    </row>
    <row r="3719" ht="12.75">
      <c r="P3719" s="8"/>
    </row>
    <row r="3720" ht="12.75">
      <c r="P3720" s="8"/>
    </row>
    <row r="3721" ht="12.75">
      <c r="P3721" s="8"/>
    </row>
    <row r="3722" ht="12.75">
      <c r="P3722" s="8"/>
    </row>
    <row r="3723" ht="12.75">
      <c r="P3723" s="8"/>
    </row>
    <row r="3724" ht="12.75">
      <c r="P3724" s="8"/>
    </row>
    <row r="3725" ht="12.75">
      <c r="P3725" s="8"/>
    </row>
    <row r="3726" ht="12.75">
      <c r="P3726" s="8"/>
    </row>
    <row r="3727" ht="12.75">
      <c r="P3727" s="8"/>
    </row>
    <row r="3728" ht="12.75">
      <c r="P3728" s="8"/>
    </row>
    <row r="3729" ht="12.75">
      <c r="P3729" s="8"/>
    </row>
    <row r="3730" ht="12.75">
      <c r="P3730" s="8"/>
    </row>
    <row r="3731" ht="12.75">
      <c r="P3731" s="8"/>
    </row>
    <row r="3732" ht="12.75">
      <c r="P3732" s="8"/>
    </row>
    <row r="3733" ht="12.75">
      <c r="P3733" s="8"/>
    </row>
    <row r="3734" ht="12.75">
      <c r="P3734" s="8"/>
    </row>
    <row r="3735" ht="12.75">
      <c r="P3735" s="8"/>
    </row>
    <row r="3736" ht="12.75">
      <c r="P3736" s="8"/>
    </row>
    <row r="3737" ht="12.75">
      <c r="P3737" s="8"/>
    </row>
    <row r="3738" ht="12.75">
      <c r="P3738" s="8"/>
    </row>
    <row r="3739" ht="12.75">
      <c r="P3739" s="8"/>
    </row>
    <row r="3740" ht="12.75">
      <c r="P3740" s="8"/>
    </row>
    <row r="3741" ht="12.75">
      <c r="P3741" s="8"/>
    </row>
    <row r="3742" ht="12.75">
      <c r="P3742" s="8"/>
    </row>
    <row r="3743" ht="12.75">
      <c r="P3743" s="8"/>
    </row>
    <row r="3744" ht="12.75">
      <c r="P3744" s="8"/>
    </row>
    <row r="3745" ht="12.75">
      <c r="P3745" s="8"/>
    </row>
    <row r="3746" ht="12.75">
      <c r="P3746" s="8"/>
    </row>
    <row r="3747" ht="12.75">
      <c r="P3747" s="8"/>
    </row>
    <row r="3748" ht="12.75">
      <c r="P3748" s="8"/>
    </row>
    <row r="3749" ht="12.75">
      <c r="P3749" s="8"/>
    </row>
    <row r="3750" ht="12.75">
      <c r="P3750" s="8"/>
    </row>
    <row r="3751" ht="12.75">
      <c r="P3751" s="8"/>
    </row>
    <row r="3752" ht="12.75">
      <c r="P3752" s="8"/>
    </row>
    <row r="3753" ht="12.75">
      <c r="P3753" s="8"/>
    </row>
    <row r="3754" ht="12.75">
      <c r="P3754" s="8"/>
    </row>
    <row r="3755" ht="12.75">
      <c r="P3755" s="8"/>
    </row>
    <row r="3756" ht="12.75">
      <c r="P3756" s="8"/>
    </row>
    <row r="3757" ht="12.75">
      <c r="P3757" s="8"/>
    </row>
    <row r="3758" ht="12.75">
      <c r="P3758" s="8"/>
    </row>
    <row r="3759" ht="12.75">
      <c r="P3759" s="8"/>
    </row>
    <row r="3760" ht="12.75">
      <c r="P3760" s="8"/>
    </row>
    <row r="3761" ht="12.75">
      <c r="P3761" s="8"/>
    </row>
    <row r="3762" ht="12.75">
      <c r="P3762" s="8"/>
    </row>
    <row r="3763" ht="12.75">
      <c r="P3763" s="8"/>
    </row>
    <row r="3764" ht="12.75">
      <c r="P3764" s="8"/>
    </row>
    <row r="3765" ht="12.75">
      <c r="P3765" s="8"/>
    </row>
    <row r="3766" ht="12.75">
      <c r="P3766" s="8"/>
    </row>
    <row r="3767" ht="12.75">
      <c r="P3767" s="8"/>
    </row>
    <row r="3768" ht="12.75">
      <c r="P3768" s="8"/>
    </row>
    <row r="3769" ht="12.75">
      <c r="P3769" s="8"/>
    </row>
    <row r="3770" ht="12.75">
      <c r="P3770" s="8"/>
    </row>
    <row r="3771" ht="12.75">
      <c r="P3771" s="8"/>
    </row>
    <row r="3772" ht="12.75">
      <c r="P3772" s="8"/>
    </row>
    <row r="3773" ht="12.75">
      <c r="P3773" s="8"/>
    </row>
    <row r="3774" ht="12.75">
      <c r="P3774" s="8"/>
    </row>
    <row r="3775" ht="12.75">
      <c r="P3775" s="8"/>
    </row>
    <row r="3776" ht="12.75">
      <c r="P3776" s="8"/>
    </row>
    <row r="3777" ht="12.75">
      <c r="P3777" s="8"/>
    </row>
    <row r="3778" ht="12.75">
      <c r="P3778" s="8"/>
    </row>
    <row r="3779" ht="12.75">
      <c r="P3779" s="8"/>
    </row>
    <row r="3780" ht="12.75">
      <c r="P3780" s="8"/>
    </row>
    <row r="3781" ht="12.75">
      <c r="P3781" s="8"/>
    </row>
    <row r="3782" ht="12.75">
      <c r="P3782" s="8"/>
    </row>
    <row r="3783" ht="12.75">
      <c r="P3783" s="8"/>
    </row>
    <row r="3784" ht="12.75">
      <c r="P3784" s="8"/>
    </row>
    <row r="3785" ht="12.75">
      <c r="P3785" s="8"/>
    </row>
    <row r="3786" ht="12.75">
      <c r="P3786" s="8"/>
    </row>
    <row r="3787" ht="12.75">
      <c r="P3787" s="8"/>
    </row>
    <row r="3788" ht="12.75">
      <c r="P3788" s="8"/>
    </row>
    <row r="3789" ht="12.75">
      <c r="P3789" s="8"/>
    </row>
    <row r="3790" ht="12.75">
      <c r="P3790" s="8"/>
    </row>
    <row r="3791" ht="12.75">
      <c r="P3791" s="8"/>
    </row>
    <row r="3792" ht="12.75">
      <c r="P3792" s="8"/>
    </row>
    <row r="3793" ht="12.75">
      <c r="P3793" s="8"/>
    </row>
    <row r="3794" ht="12.75">
      <c r="P3794" s="8"/>
    </row>
    <row r="3795" ht="12.75">
      <c r="P3795" s="8"/>
    </row>
    <row r="3796" ht="12.75">
      <c r="P3796" s="8"/>
    </row>
    <row r="3797" ht="12.75">
      <c r="P3797" s="8"/>
    </row>
    <row r="3798" ht="12.75">
      <c r="P3798" s="8"/>
    </row>
    <row r="3799" ht="12.75">
      <c r="P3799" s="8"/>
    </row>
    <row r="3800" ht="12.75">
      <c r="P3800" s="8"/>
    </row>
    <row r="3801" ht="12.75">
      <c r="P3801" s="8"/>
    </row>
    <row r="3802" ht="12.75">
      <c r="P3802" s="8"/>
    </row>
    <row r="3803" ht="12.75">
      <c r="P3803" s="8"/>
    </row>
    <row r="3804" ht="12.75">
      <c r="P3804" s="8"/>
    </row>
    <row r="3805" ht="12.75">
      <c r="P3805" s="8"/>
    </row>
    <row r="3806" ht="12.75">
      <c r="P3806" s="8"/>
    </row>
    <row r="3807" ht="12.75">
      <c r="P3807" s="8"/>
    </row>
    <row r="3808" ht="12.75">
      <c r="P3808" s="8"/>
    </row>
    <row r="3809" ht="12.75">
      <c r="P3809" s="8"/>
    </row>
    <row r="3810" ht="12.75">
      <c r="P3810" s="8"/>
    </row>
    <row r="3811" ht="12.75">
      <c r="P3811" s="8"/>
    </row>
    <row r="3812" ht="12.75">
      <c r="P3812" s="8"/>
    </row>
    <row r="3813" ht="12.75">
      <c r="P3813" s="8"/>
    </row>
    <row r="3814" ht="12.75">
      <c r="P3814" s="8"/>
    </row>
    <row r="3815" ht="12.75">
      <c r="P3815" s="8"/>
    </row>
    <row r="3816" ht="12.75">
      <c r="P3816" s="8"/>
    </row>
    <row r="3817" ht="12.75">
      <c r="P3817" s="8"/>
    </row>
    <row r="3818" ht="12.75">
      <c r="P3818" s="8"/>
    </row>
    <row r="3819" ht="12.75">
      <c r="P3819" s="8"/>
    </row>
    <row r="3820" ht="12.75">
      <c r="P3820" s="8"/>
    </row>
    <row r="3821" ht="12.75">
      <c r="P3821" s="8"/>
    </row>
    <row r="3822" ht="12.75">
      <c r="P3822" s="8"/>
    </row>
    <row r="3823" ht="12.75">
      <c r="P3823" s="8"/>
    </row>
    <row r="3824" ht="12.75">
      <c r="P3824" s="8"/>
    </row>
    <row r="3825" ht="12.75">
      <c r="P3825" s="8"/>
    </row>
    <row r="3826" ht="12.75">
      <c r="P3826" s="8"/>
    </row>
    <row r="3827" ht="12.75">
      <c r="P3827" s="8"/>
    </row>
    <row r="3828" ht="12.75">
      <c r="P3828" s="8"/>
    </row>
    <row r="3829" ht="12.75">
      <c r="P3829" s="8"/>
    </row>
    <row r="3830" ht="12.75">
      <c r="P3830" s="8"/>
    </row>
    <row r="3831" ht="12.75">
      <c r="P3831" s="8"/>
    </row>
    <row r="3832" ht="12.75">
      <c r="P3832" s="8"/>
    </row>
    <row r="3833" ht="12.75">
      <c r="P3833" s="8"/>
    </row>
    <row r="3834" ht="12.75">
      <c r="P3834" s="8"/>
    </row>
    <row r="3835" ht="12.75">
      <c r="P3835" s="8"/>
    </row>
    <row r="3836" ht="12.75">
      <c r="P3836" s="8"/>
    </row>
    <row r="3837" ht="12.75">
      <c r="P3837" s="8"/>
    </row>
    <row r="3838" ht="12.75">
      <c r="P3838" s="8"/>
    </row>
    <row r="3839" ht="12.75">
      <c r="P3839" s="8"/>
    </row>
    <row r="3840" ht="12.75">
      <c r="P3840" s="8"/>
    </row>
    <row r="3841" ht="12.75">
      <c r="P3841" s="8"/>
    </row>
    <row r="3842" ht="12.75">
      <c r="P3842" s="8"/>
    </row>
    <row r="3843" ht="12.75">
      <c r="P3843" s="8"/>
    </row>
    <row r="3844" ht="12.75">
      <c r="P3844" s="8"/>
    </row>
    <row r="3845" ht="12.75">
      <c r="P3845" s="8"/>
    </row>
    <row r="3846" ht="12.75">
      <c r="P3846" s="8"/>
    </row>
    <row r="3847" ht="12.75">
      <c r="P3847" s="8"/>
    </row>
    <row r="3848" ht="12.75">
      <c r="P3848" s="8"/>
    </row>
    <row r="3849" ht="12.75">
      <c r="P3849" s="8"/>
    </row>
    <row r="3850" ht="12.75">
      <c r="P3850" s="8"/>
    </row>
    <row r="3851" ht="12.75">
      <c r="P3851" s="8"/>
    </row>
    <row r="3852" ht="12.75">
      <c r="P3852" s="8"/>
    </row>
    <row r="3853" ht="12.75">
      <c r="P3853" s="8"/>
    </row>
    <row r="3854" ht="12.75">
      <c r="P3854" s="8"/>
    </row>
    <row r="3855" ht="12.75">
      <c r="P3855" s="8"/>
    </row>
    <row r="3856" ht="12.75">
      <c r="P3856" s="8"/>
    </row>
    <row r="3857" ht="12.75">
      <c r="P3857" s="8"/>
    </row>
    <row r="3858" ht="12.75">
      <c r="P3858" s="8"/>
    </row>
    <row r="3859" ht="12.75">
      <c r="P3859" s="8"/>
    </row>
    <row r="3860" ht="12.75">
      <c r="P3860" s="8"/>
    </row>
    <row r="3861" ht="12.75">
      <c r="P3861" s="8"/>
    </row>
    <row r="3862" ht="12.75">
      <c r="P3862" s="8"/>
    </row>
    <row r="3863" ht="12.75">
      <c r="P3863" s="8"/>
    </row>
    <row r="3864" ht="12.75">
      <c r="P3864" s="8"/>
    </row>
    <row r="3865" ht="12.75">
      <c r="P3865" s="8"/>
    </row>
    <row r="3866" ht="12.75">
      <c r="P3866" s="8"/>
    </row>
    <row r="3867" ht="12.75">
      <c r="P3867" s="8"/>
    </row>
    <row r="3868" ht="12.75">
      <c r="P3868" s="8"/>
    </row>
    <row r="3869" ht="12.75">
      <c r="P3869" s="8"/>
    </row>
    <row r="3870" ht="12.75">
      <c r="P3870" s="8"/>
    </row>
    <row r="3871" ht="12.75">
      <c r="P3871" s="8"/>
    </row>
    <row r="3872" ht="12.75">
      <c r="P3872" s="8"/>
    </row>
    <row r="3873" ht="12.75">
      <c r="P3873" s="8"/>
    </row>
    <row r="3874" ht="12.75">
      <c r="P3874" s="8"/>
    </row>
    <row r="3875" ht="12.75">
      <c r="P3875" s="8"/>
    </row>
    <row r="3876" ht="12.75">
      <c r="P3876" s="8"/>
    </row>
    <row r="3877" ht="12.75">
      <c r="P3877" s="8"/>
    </row>
    <row r="3878" ht="12.75">
      <c r="P3878" s="8"/>
    </row>
    <row r="3879" ht="12.75">
      <c r="P3879" s="8"/>
    </row>
    <row r="3880" ht="12.75">
      <c r="P3880" s="8"/>
    </row>
    <row r="3881" ht="12.75">
      <c r="P3881" s="8"/>
    </row>
    <row r="3882" ht="12.75">
      <c r="P3882" s="8"/>
    </row>
    <row r="3883" ht="12.75">
      <c r="P3883" s="8"/>
    </row>
    <row r="3884" ht="12.75">
      <c r="P3884" s="8"/>
    </row>
    <row r="3885" ht="12.75">
      <c r="P3885" s="8"/>
    </row>
    <row r="3886" ht="12.75">
      <c r="P3886" s="8"/>
    </row>
    <row r="3887" ht="12.75">
      <c r="P3887" s="8"/>
    </row>
    <row r="3888" ht="12.75">
      <c r="P3888" s="8"/>
    </row>
    <row r="3889" ht="12.75">
      <c r="P3889" s="8"/>
    </row>
    <row r="3890" ht="12.75">
      <c r="P3890" s="8"/>
    </row>
    <row r="3891" ht="12.75">
      <c r="P3891" s="8"/>
    </row>
    <row r="3892" ht="12.75">
      <c r="P3892" s="8"/>
    </row>
    <row r="3893" ht="12.75">
      <c r="P3893" s="8"/>
    </row>
    <row r="3894" ht="12.75">
      <c r="P3894" s="8"/>
    </row>
    <row r="3895" ht="12.75">
      <c r="P3895" s="8"/>
    </row>
    <row r="3896" ht="12.75">
      <c r="P3896" s="8"/>
    </row>
    <row r="3897" ht="12.75">
      <c r="P3897" s="8"/>
    </row>
    <row r="3898" ht="12.75">
      <c r="P3898" s="8"/>
    </row>
    <row r="3899" ht="12.75">
      <c r="P3899" s="8"/>
    </row>
    <row r="3900" ht="12.75">
      <c r="P3900" s="8"/>
    </row>
    <row r="3901" ht="12.75">
      <c r="P3901" s="8"/>
    </row>
    <row r="3902" ht="12.75">
      <c r="P3902" s="8"/>
    </row>
    <row r="3903" ht="12.75">
      <c r="P3903" s="8"/>
    </row>
    <row r="3904" ht="12.75">
      <c r="P3904" s="8"/>
    </row>
    <row r="3905" ht="12.75">
      <c r="P3905" s="8"/>
    </row>
    <row r="3906" ht="12.75">
      <c r="P3906" s="8"/>
    </row>
    <row r="3907" ht="12.75">
      <c r="P3907" s="8"/>
    </row>
    <row r="3908" ht="12.75">
      <c r="P3908" s="8"/>
    </row>
    <row r="3909" ht="12.75">
      <c r="P3909" s="8"/>
    </row>
    <row r="3910" ht="12.75">
      <c r="P3910" s="8"/>
    </row>
    <row r="3911" ht="12.75">
      <c r="P3911" s="8"/>
    </row>
    <row r="3912" ht="12.75">
      <c r="P3912" s="8"/>
    </row>
    <row r="3913" ht="12.75">
      <c r="P3913" s="8"/>
    </row>
    <row r="3914" ht="12.75">
      <c r="P3914" s="8"/>
    </row>
    <row r="3915" ht="12.75">
      <c r="P3915" s="8"/>
    </row>
    <row r="3916" ht="12.75">
      <c r="P3916" s="8"/>
    </row>
    <row r="3917" ht="12.75">
      <c r="P3917" s="8"/>
    </row>
    <row r="3918" ht="12.75">
      <c r="P3918" s="8"/>
    </row>
    <row r="3919" ht="12.75">
      <c r="P3919" s="8"/>
    </row>
    <row r="3920" ht="12.75">
      <c r="P3920" s="8"/>
    </row>
    <row r="3921" ht="12.75">
      <c r="P3921" s="8"/>
    </row>
    <row r="3922" ht="12.75">
      <c r="P3922" s="8"/>
    </row>
    <row r="3923" ht="12.75">
      <c r="P3923" s="8"/>
    </row>
    <row r="3924" ht="12.75">
      <c r="P3924" s="8"/>
    </row>
    <row r="3925" ht="12.75">
      <c r="P3925" s="8"/>
    </row>
    <row r="3926" ht="12.75">
      <c r="P3926" s="8"/>
    </row>
    <row r="3927" ht="12.75">
      <c r="P3927" s="8"/>
    </row>
    <row r="3928" ht="12.75">
      <c r="P3928" s="8"/>
    </row>
    <row r="3929" ht="12.75">
      <c r="P3929" s="8"/>
    </row>
    <row r="3930" ht="12.75">
      <c r="P3930" s="8"/>
    </row>
    <row r="3931" ht="12.75">
      <c r="P3931" s="8"/>
    </row>
    <row r="3932" ht="12.75">
      <c r="P3932" s="8"/>
    </row>
    <row r="3933" ht="12.75">
      <c r="P3933" s="8"/>
    </row>
    <row r="3934" ht="12.75">
      <c r="P3934" s="8"/>
    </row>
    <row r="3935" ht="12.75">
      <c r="P3935" s="8"/>
    </row>
    <row r="3936" ht="12.75">
      <c r="P3936" s="8"/>
    </row>
    <row r="3937" ht="12.75">
      <c r="P3937" s="8"/>
    </row>
    <row r="3938" ht="12.75">
      <c r="P3938" s="8"/>
    </row>
    <row r="3939" ht="12.75">
      <c r="P3939" s="8"/>
    </row>
    <row r="3940" ht="12.75">
      <c r="P3940" s="8"/>
    </row>
    <row r="3941" ht="12.75">
      <c r="P3941" s="8"/>
    </row>
    <row r="3942" ht="12.75">
      <c r="P3942" s="8"/>
    </row>
    <row r="3943" ht="12.75">
      <c r="P3943" s="8"/>
    </row>
    <row r="3944" ht="12.75">
      <c r="P3944" s="8"/>
    </row>
    <row r="3945" ht="12.75">
      <c r="P3945" s="8"/>
    </row>
    <row r="3946" ht="12.75">
      <c r="P3946" s="8"/>
    </row>
    <row r="3947" ht="12.75">
      <c r="P3947" s="8"/>
    </row>
    <row r="3948" ht="12.75">
      <c r="P3948" s="8"/>
    </row>
    <row r="3949" ht="12.75">
      <c r="P3949" s="8"/>
    </row>
    <row r="3950" ht="12.75">
      <c r="P3950" s="8"/>
    </row>
    <row r="3951" ht="12.75">
      <c r="P3951" s="8"/>
    </row>
    <row r="3952" ht="12.75">
      <c r="P3952" s="8"/>
    </row>
    <row r="3953" ht="12.75">
      <c r="P3953" s="8"/>
    </row>
    <row r="3954" ht="12.75">
      <c r="P3954" s="8"/>
    </row>
    <row r="3955" ht="12.75">
      <c r="P3955" s="8"/>
    </row>
    <row r="3956" ht="12.75">
      <c r="P3956" s="8"/>
    </row>
    <row r="3957" ht="12.75">
      <c r="P3957" s="8"/>
    </row>
    <row r="3958" ht="12.75">
      <c r="P3958" s="8"/>
    </row>
    <row r="3959" ht="12.75">
      <c r="P3959" s="8"/>
    </row>
    <row r="3960" ht="12.75">
      <c r="P3960" s="8"/>
    </row>
    <row r="3961" ht="12.75">
      <c r="P3961" s="8"/>
    </row>
    <row r="3962" ht="12.75">
      <c r="P3962" s="8"/>
    </row>
    <row r="3963" ht="12.75">
      <c r="P3963" s="8"/>
    </row>
    <row r="3964" ht="12.75">
      <c r="P3964" s="8"/>
    </row>
    <row r="3965" ht="12.75">
      <c r="P3965" s="8"/>
    </row>
    <row r="3966" ht="12.75">
      <c r="P3966" s="8"/>
    </row>
    <row r="3967" ht="12.75">
      <c r="P3967" s="8"/>
    </row>
    <row r="3968" ht="12.75">
      <c r="P3968" s="8"/>
    </row>
    <row r="3969" ht="12.75">
      <c r="P3969" s="8"/>
    </row>
    <row r="3970" ht="12.75">
      <c r="P3970" s="8"/>
    </row>
    <row r="3971" ht="12.75">
      <c r="P3971" s="8"/>
    </row>
    <row r="3972" ht="12.75">
      <c r="P3972" s="8"/>
    </row>
    <row r="3973" ht="12.75">
      <c r="P3973" s="8"/>
    </row>
    <row r="3974" ht="12.75">
      <c r="P3974" s="8"/>
    </row>
    <row r="3975" ht="12.75">
      <c r="P3975" s="8"/>
    </row>
    <row r="3976" ht="12.75">
      <c r="P3976" s="8"/>
    </row>
    <row r="3977" ht="12.75">
      <c r="P3977" s="8"/>
    </row>
    <row r="3978" ht="12.75">
      <c r="P3978" s="8"/>
    </row>
    <row r="3979" ht="12.75">
      <c r="P3979" s="8"/>
    </row>
    <row r="3980" ht="12.75">
      <c r="P3980" s="8"/>
    </row>
    <row r="3981" ht="12.75">
      <c r="P3981" s="8"/>
    </row>
    <row r="3982" ht="12.75">
      <c r="P3982" s="8"/>
    </row>
    <row r="3983" ht="12.75">
      <c r="P3983" s="8"/>
    </row>
    <row r="3984" ht="12.75">
      <c r="P3984" s="8"/>
    </row>
    <row r="3985" ht="12.75">
      <c r="P3985" s="8"/>
    </row>
    <row r="3986" ht="12.75">
      <c r="P3986" s="8"/>
    </row>
    <row r="3987" ht="12.75">
      <c r="P3987" s="8"/>
    </row>
    <row r="3988" ht="12.75">
      <c r="P3988" s="8"/>
    </row>
    <row r="3989" ht="12.75">
      <c r="P3989" s="8"/>
    </row>
    <row r="3990" ht="12.75">
      <c r="P3990" s="8"/>
    </row>
    <row r="3991" ht="12.75">
      <c r="P3991" s="8"/>
    </row>
    <row r="3992" ht="12.75">
      <c r="P3992" s="8"/>
    </row>
    <row r="3993" ht="12.75">
      <c r="P3993" s="8"/>
    </row>
    <row r="3994" ht="12.75">
      <c r="P3994" s="8"/>
    </row>
    <row r="3995" ht="12.75">
      <c r="P3995" s="8"/>
    </row>
    <row r="3996" ht="12.75">
      <c r="P3996" s="8"/>
    </row>
    <row r="3997" ht="12.75">
      <c r="P3997" s="8"/>
    </row>
    <row r="3998" ht="12.75">
      <c r="P3998" s="8"/>
    </row>
    <row r="3999" ht="12.75">
      <c r="P3999" s="8"/>
    </row>
    <row r="4000" ht="12.75">
      <c r="P4000" s="8"/>
    </row>
    <row r="4001" ht="12.75">
      <c r="P4001" s="8"/>
    </row>
    <row r="4002" ht="12.75">
      <c r="P4002" s="8"/>
    </row>
    <row r="4003" ht="12.75">
      <c r="P4003" s="8"/>
    </row>
    <row r="4004" ht="12.75">
      <c r="P4004" s="8"/>
    </row>
    <row r="4005" ht="12.75">
      <c r="P4005" s="8"/>
    </row>
    <row r="4006" ht="12.75">
      <c r="P4006" s="8"/>
    </row>
    <row r="4007" ht="12.75">
      <c r="P4007" s="8"/>
    </row>
    <row r="4008" ht="12.75">
      <c r="P4008" s="8"/>
    </row>
    <row r="4009" ht="12.75">
      <c r="P4009" s="8"/>
    </row>
    <row r="4010" ht="12.75">
      <c r="P4010" s="8"/>
    </row>
    <row r="4011" ht="12.75">
      <c r="P4011" s="8"/>
    </row>
    <row r="4012" ht="12.75">
      <c r="P4012" s="8"/>
    </row>
    <row r="4013" ht="12.75">
      <c r="P4013" s="8"/>
    </row>
    <row r="4014" ht="12.75">
      <c r="P4014" s="8"/>
    </row>
    <row r="4015" ht="12.75">
      <c r="P4015" s="8"/>
    </row>
    <row r="4016" ht="12.75">
      <c r="P4016" s="8"/>
    </row>
    <row r="4017" ht="12.75">
      <c r="P4017" s="8"/>
    </row>
    <row r="4018" ht="12.75">
      <c r="P4018" s="8"/>
    </row>
    <row r="4019" ht="12.75">
      <c r="P4019" s="8"/>
    </row>
    <row r="4020" ht="12.75">
      <c r="P4020" s="8"/>
    </row>
    <row r="4021" ht="12.75">
      <c r="P4021" s="8"/>
    </row>
    <row r="4022" ht="12.75">
      <c r="P4022" s="8"/>
    </row>
    <row r="4023" ht="12.75">
      <c r="P4023" s="8"/>
    </row>
    <row r="4024" ht="12.75">
      <c r="P4024" s="8"/>
    </row>
    <row r="4025" ht="12.75">
      <c r="P4025" s="8"/>
    </row>
    <row r="4026" ht="12.75">
      <c r="P4026" s="8"/>
    </row>
    <row r="4027" ht="12.75">
      <c r="P4027" s="8"/>
    </row>
    <row r="4028" ht="12.75">
      <c r="P4028" s="8"/>
    </row>
    <row r="4029" ht="12.75">
      <c r="P4029" s="8"/>
    </row>
    <row r="4030" ht="12.75">
      <c r="P4030" s="8"/>
    </row>
    <row r="4031" ht="12.75">
      <c r="P4031" s="8"/>
    </row>
    <row r="4032" ht="12.75">
      <c r="P4032" s="8"/>
    </row>
    <row r="4033" ht="12.75">
      <c r="P4033" s="8"/>
    </row>
    <row r="4034" ht="12.75">
      <c r="P4034" s="8"/>
    </row>
    <row r="4035" ht="12.75">
      <c r="P4035" s="8"/>
    </row>
    <row r="4036" ht="12.75">
      <c r="P4036" s="8"/>
    </row>
    <row r="4037" ht="12.75">
      <c r="P4037" s="8"/>
    </row>
    <row r="4038" ht="12.75">
      <c r="P4038" s="8"/>
    </row>
    <row r="4039" ht="12.75">
      <c r="P4039" s="8"/>
    </row>
    <row r="4040" ht="12.75">
      <c r="P4040" s="8"/>
    </row>
    <row r="4041" ht="12.75">
      <c r="P4041" s="8"/>
    </row>
    <row r="4042" ht="12.75">
      <c r="P4042" s="8"/>
    </row>
    <row r="4043" ht="12.75">
      <c r="P4043" s="8"/>
    </row>
    <row r="4044" ht="12.75">
      <c r="P4044" s="8"/>
    </row>
    <row r="4045" ht="12.75">
      <c r="P4045" s="8"/>
    </row>
    <row r="4046" ht="12.75">
      <c r="P4046" s="8"/>
    </row>
    <row r="4047" ht="12.75">
      <c r="P4047" s="8"/>
    </row>
    <row r="4048" ht="12.75">
      <c r="P4048" s="8"/>
    </row>
    <row r="4049" ht="12.75">
      <c r="P4049" s="8"/>
    </row>
    <row r="4050" ht="12.75">
      <c r="P4050" s="8"/>
    </row>
    <row r="4051" ht="12.75">
      <c r="P4051" s="8"/>
    </row>
    <row r="4052" ht="12.75">
      <c r="P4052" s="8"/>
    </row>
    <row r="4053" ht="12.75">
      <c r="P4053" s="8"/>
    </row>
    <row r="4054" ht="12.75">
      <c r="P4054" s="8"/>
    </row>
    <row r="4055" ht="12.75">
      <c r="P4055" s="8"/>
    </row>
  </sheetData>
  <mergeCells count="29">
    <mergeCell ref="I3:I4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  <mergeCell ref="V3:V4"/>
    <mergeCell ref="W3:W4"/>
    <mergeCell ref="P3:P4"/>
    <mergeCell ref="Q3:Q4"/>
    <mergeCell ref="R3:R4"/>
    <mergeCell ref="S3:S4"/>
    <mergeCell ref="AE101:AE102"/>
    <mergeCell ref="H106:H107"/>
    <mergeCell ref="AE7:AE8"/>
    <mergeCell ref="AE3:AE4"/>
    <mergeCell ref="AB3:AB4"/>
    <mergeCell ref="AC3:AC4"/>
    <mergeCell ref="AD3:AD4"/>
    <mergeCell ref="H7:H8"/>
    <mergeCell ref="T3:T4"/>
    <mergeCell ref="U3:U4"/>
  </mergeCells>
  <printOptions horizontalCentered="1"/>
  <pageMargins left="0.46" right="0.06" top="0.03937007874015748" bottom="0.13" header="0.07874015748031496" footer="0.13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AH356"/>
  <sheetViews>
    <sheetView zoomScale="150" zoomScaleNormal="150" workbookViewId="0" topLeftCell="A1">
      <pane ySplit="4" topLeftCell="BM228" activePane="bottomLeft" state="frozen"/>
      <selection pane="topLeft" activeCell="X1" sqref="X1"/>
      <selection pane="bottomLeft" activeCell="AG46" sqref="AG46"/>
    </sheetView>
  </sheetViews>
  <sheetFormatPr defaultColWidth="9.140625" defaultRowHeight="12.75"/>
  <cols>
    <col min="1" max="1" width="2.28125" style="3" customWidth="1"/>
    <col min="2" max="2" width="5.28125" style="3" customWidth="1"/>
    <col min="3" max="3" width="7.28125" style="3" customWidth="1"/>
    <col min="4" max="4" width="4.8515625" style="3" customWidth="1"/>
    <col min="5" max="5" width="24.140625" style="3" customWidth="1"/>
    <col min="6" max="6" width="11.7109375" style="3" hidden="1" customWidth="1"/>
    <col min="7" max="7" width="14.140625" style="304" hidden="1" customWidth="1"/>
    <col min="8" max="8" width="14.421875" style="3" hidden="1" customWidth="1"/>
    <col min="9" max="9" width="18.140625" style="3" customWidth="1"/>
    <col min="10" max="10" width="40.57421875" style="305" hidden="1" customWidth="1"/>
    <col min="11" max="11" width="12.421875" style="179" hidden="1" customWidth="1"/>
    <col min="12" max="12" width="12.140625" style="3" hidden="1" customWidth="1"/>
    <col min="13" max="13" width="14.28125" style="3" hidden="1" customWidth="1"/>
    <col min="14" max="14" width="13.421875" style="3" hidden="1" customWidth="1"/>
    <col min="15" max="15" width="13.28125" style="3" hidden="1" customWidth="1"/>
    <col min="16" max="16" width="12.00390625" style="3" hidden="1" customWidth="1"/>
    <col min="17" max="17" width="18.8515625" style="112" customWidth="1"/>
    <col min="18" max="18" width="14.00390625" style="3" hidden="1" customWidth="1"/>
    <col min="19" max="29" width="12.7109375" style="3" hidden="1" customWidth="1"/>
    <col min="30" max="30" width="15.421875" style="3" customWidth="1"/>
    <col min="31" max="31" width="13.00390625" style="3" hidden="1" customWidth="1"/>
    <col min="32" max="32" width="7.00390625" style="3" customWidth="1"/>
    <col min="33" max="33" width="9.140625" style="3" customWidth="1"/>
    <col min="34" max="36" width="11.57421875" style="3" customWidth="1"/>
    <col min="37" max="16384" width="9.140625" style="3" customWidth="1"/>
  </cols>
  <sheetData>
    <row r="1" spans="2:32" ht="24.75" customHeight="1">
      <c r="B1" s="1" t="s">
        <v>560</v>
      </c>
      <c r="C1" s="113"/>
      <c r="D1" s="2"/>
      <c r="G1" s="4"/>
      <c r="H1" s="6"/>
      <c r="I1" s="6"/>
      <c r="J1" s="75" t="s">
        <v>561</v>
      </c>
      <c r="K1" s="7"/>
      <c r="L1" s="6"/>
      <c r="M1" s="6"/>
      <c r="N1" s="6"/>
      <c r="O1" s="6"/>
      <c r="P1" s="6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9"/>
      <c r="AE1" s="114"/>
      <c r="AF1" s="115" t="s">
        <v>562</v>
      </c>
    </row>
    <row r="2" spans="2:32" ht="15.75" thickBot="1">
      <c r="B2" s="1"/>
      <c r="C2" s="113"/>
      <c r="D2" s="2"/>
      <c r="G2" s="4"/>
      <c r="H2" s="6"/>
      <c r="I2" s="6"/>
      <c r="J2" s="5"/>
      <c r="K2" s="7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/>
      <c r="AE2" s="114"/>
      <c r="AF2" s="115"/>
    </row>
    <row r="3" spans="2:32" s="42" customFormat="1" ht="15.75" customHeight="1">
      <c r="B3" s="591" t="s">
        <v>1061</v>
      </c>
      <c r="C3" s="586" t="s">
        <v>463</v>
      </c>
      <c r="D3" s="586" t="s">
        <v>1063</v>
      </c>
      <c r="E3" s="586" t="s">
        <v>1064</v>
      </c>
      <c r="F3" s="586" t="s">
        <v>109</v>
      </c>
      <c r="G3" s="565" t="s">
        <v>563</v>
      </c>
      <c r="H3" s="586" t="s">
        <v>564</v>
      </c>
      <c r="I3" s="586" t="s">
        <v>564</v>
      </c>
      <c r="J3" s="548"/>
      <c r="K3" s="280" t="s">
        <v>565</v>
      </c>
      <c r="L3" s="406"/>
      <c r="M3" s="406"/>
      <c r="N3" s="406"/>
      <c r="O3" s="409"/>
      <c r="P3" s="406" t="s">
        <v>466</v>
      </c>
      <c r="Q3" s="550" t="s">
        <v>464</v>
      </c>
      <c r="R3" s="586" t="s">
        <v>201</v>
      </c>
      <c r="S3" s="586" t="s">
        <v>202</v>
      </c>
      <c r="T3" s="586" t="s">
        <v>203</v>
      </c>
      <c r="U3" s="586" t="s">
        <v>204</v>
      </c>
      <c r="V3" s="586" t="s">
        <v>205</v>
      </c>
      <c r="W3" s="586" t="s">
        <v>206</v>
      </c>
      <c r="X3" s="586" t="s">
        <v>207</v>
      </c>
      <c r="Y3" s="586" t="s">
        <v>208</v>
      </c>
      <c r="Z3" s="586" t="s">
        <v>209</v>
      </c>
      <c r="AA3" s="586" t="s">
        <v>210</v>
      </c>
      <c r="AB3" s="586" t="s">
        <v>211</v>
      </c>
      <c r="AC3" s="586" t="s">
        <v>307</v>
      </c>
      <c r="AD3" s="562" t="s">
        <v>566</v>
      </c>
      <c r="AE3" s="564" t="s">
        <v>465</v>
      </c>
      <c r="AF3" s="552" t="s">
        <v>308</v>
      </c>
    </row>
    <row r="4" spans="2:32" s="116" customFormat="1" ht="79.5" customHeight="1" thickBot="1">
      <c r="B4" s="592"/>
      <c r="C4" s="575"/>
      <c r="D4" s="575"/>
      <c r="E4" s="575"/>
      <c r="F4" s="575"/>
      <c r="G4" s="566"/>
      <c r="H4" s="575"/>
      <c r="I4" s="575"/>
      <c r="J4" s="549"/>
      <c r="K4" s="410" t="s">
        <v>567</v>
      </c>
      <c r="L4" s="410" t="s">
        <v>568</v>
      </c>
      <c r="M4" s="410" t="s">
        <v>569</v>
      </c>
      <c r="N4" s="410" t="s">
        <v>570</v>
      </c>
      <c r="O4" s="410" t="s">
        <v>571</v>
      </c>
      <c r="P4" s="410" t="s">
        <v>571</v>
      </c>
      <c r="Q4" s="590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63"/>
      <c r="AE4" s="551"/>
      <c r="AF4" s="553"/>
    </row>
    <row r="5" spans="2:32" ht="12.75">
      <c r="B5" s="117"/>
      <c r="C5" s="118"/>
      <c r="D5" s="118"/>
      <c r="E5" s="118"/>
      <c r="F5" s="118"/>
      <c r="G5" s="283"/>
      <c r="H5" s="118"/>
      <c r="I5" s="118"/>
      <c r="J5" s="284"/>
      <c r="K5" s="119"/>
      <c r="L5" s="119"/>
      <c r="M5" s="119"/>
      <c r="N5" s="119"/>
      <c r="O5" s="119"/>
      <c r="P5" s="119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20"/>
      <c r="AE5" s="120"/>
      <c r="AF5" s="121"/>
    </row>
    <row r="6" spans="2:32" ht="51" customHeight="1" hidden="1">
      <c r="B6" s="117"/>
      <c r="C6" s="118"/>
      <c r="D6" s="118"/>
      <c r="E6" s="118"/>
      <c r="F6" s="118"/>
      <c r="G6" s="411" t="s">
        <v>572</v>
      </c>
      <c r="H6" s="412" t="s">
        <v>573</v>
      </c>
      <c r="I6" s="412" t="s">
        <v>574</v>
      </c>
      <c r="J6" s="284"/>
      <c r="K6" s="119"/>
      <c r="L6" s="119"/>
      <c r="M6" s="119"/>
      <c r="N6" s="119"/>
      <c r="O6" s="119"/>
      <c r="P6" s="119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20"/>
      <c r="AE6" s="120"/>
      <c r="AF6" s="121"/>
    </row>
    <row r="7" spans="2:32" ht="12.75">
      <c r="B7" s="122" t="s">
        <v>309</v>
      </c>
      <c r="C7" s="123"/>
      <c r="D7" s="123"/>
      <c r="E7" s="124" t="s">
        <v>310</v>
      </c>
      <c r="F7" s="127">
        <f>F8+F12+F14+F16+F18</f>
        <v>862729</v>
      </c>
      <c r="G7" s="125">
        <f>G8+G12+G14+G16+G18</f>
        <v>452669</v>
      </c>
      <c r="H7" s="127">
        <f>H8+H12+H14+H16+H18</f>
        <v>330826</v>
      </c>
      <c r="I7" s="127">
        <f>I8+I12+I14+I16+I18</f>
        <v>298326</v>
      </c>
      <c r="J7" s="285"/>
      <c r="K7" s="126">
        <f aca="true" t="shared" si="0" ref="K7:Z7">K8+K12+K14+K16+K18</f>
        <v>0</v>
      </c>
      <c r="L7" s="126">
        <f t="shared" si="0"/>
        <v>0</v>
      </c>
      <c r="M7" s="126">
        <f t="shared" si="0"/>
        <v>0</v>
      </c>
      <c r="N7" s="126">
        <f t="shared" si="0"/>
        <v>240700</v>
      </c>
      <c r="O7" s="126">
        <f t="shared" si="0"/>
        <v>0</v>
      </c>
      <c r="P7" s="126">
        <f t="shared" si="0"/>
        <v>0</v>
      </c>
      <c r="Q7" s="127">
        <f t="shared" si="0"/>
        <v>539026</v>
      </c>
      <c r="R7" s="127">
        <f t="shared" si="0"/>
        <v>777.32</v>
      </c>
      <c r="S7" s="127">
        <f t="shared" si="0"/>
        <v>72.51</v>
      </c>
      <c r="T7" s="127">
        <f>T8+T12+T14+T16+T18</f>
        <v>1294.5</v>
      </c>
      <c r="U7" s="127">
        <f t="shared" si="0"/>
        <v>135407.89</v>
      </c>
      <c r="V7" s="127">
        <f t="shared" si="0"/>
        <v>541.95</v>
      </c>
      <c r="W7" s="127">
        <f t="shared" si="0"/>
        <v>26779.710000000003</v>
      </c>
      <c r="X7" s="127">
        <f t="shared" si="0"/>
        <v>0</v>
      </c>
      <c r="Y7" s="127">
        <f t="shared" si="0"/>
        <v>0</v>
      </c>
      <c r="Z7" s="127">
        <f t="shared" si="0"/>
        <v>0</v>
      </c>
      <c r="AA7" s="127">
        <f>AA8+AA12+AA14+AA16+AA18</f>
        <v>0</v>
      </c>
      <c r="AB7" s="127">
        <f>AB8+AB12+AB14+AB16+AB18</f>
        <v>0</v>
      </c>
      <c r="AC7" s="127">
        <f>AC8+AC12+AC14+AC16+AC18</f>
        <v>0</v>
      </c>
      <c r="AD7" s="127">
        <f>AD8+AD12+AD14+AD16+AD18</f>
        <v>164873.87999999998</v>
      </c>
      <c r="AE7" s="127">
        <f>AE8+AE12+AE14+AE16+AE18</f>
        <v>374152.12</v>
      </c>
      <c r="AF7" s="128">
        <f aca="true" t="shared" si="1" ref="AF7:AF70">AD7*100/Q7</f>
        <v>30.587370553554</v>
      </c>
    </row>
    <row r="8" spans="2:32" s="42" customFormat="1" ht="12.75" customHeight="1">
      <c r="B8" s="129"/>
      <c r="C8" s="44" t="s">
        <v>467</v>
      </c>
      <c r="D8" s="43"/>
      <c r="E8" s="45" t="s">
        <v>468</v>
      </c>
      <c r="F8" s="48">
        <f>SUM(F9:F11)</f>
        <v>37000</v>
      </c>
      <c r="G8" s="46">
        <f>SUM(G9:G11)</f>
        <v>50000</v>
      </c>
      <c r="H8" s="48">
        <f>SUM(H9:H11)</f>
        <v>32000</v>
      </c>
      <c r="I8" s="48">
        <f>SUM(I9:I11)</f>
        <v>29500</v>
      </c>
      <c r="J8" s="286"/>
      <c r="K8" s="49">
        <f aca="true" t="shared" si="2" ref="K8:Z8">SUM(K9:K11)</f>
        <v>0</v>
      </c>
      <c r="L8" s="49">
        <f t="shared" si="2"/>
        <v>0</v>
      </c>
      <c r="M8" s="49">
        <f t="shared" si="2"/>
        <v>0</v>
      </c>
      <c r="N8" s="49">
        <f t="shared" si="2"/>
        <v>0</v>
      </c>
      <c r="O8" s="49">
        <f t="shared" si="2"/>
        <v>0</v>
      </c>
      <c r="P8" s="49">
        <f t="shared" si="2"/>
        <v>0</v>
      </c>
      <c r="Q8" s="40">
        <f t="shared" si="2"/>
        <v>29500</v>
      </c>
      <c r="R8" s="48">
        <f t="shared" si="2"/>
        <v>0</v>
      </c>
      <c r="S8" s="48">
        <f t="shared" si="2"/>
        <v>0</v>
      </c>
      <c r="T8" s="48">
        <f t="shared" si="2"/>
        <v>0</v>
      </c>
      <c r="U8" s="48">
        <f t="shared" si="2"/>
        <v>1100</v>
      </c>
      <c r="V8" s="48">
        <f t="shared" si="2"/>
        <v>0</v>
      </c>
      <c r="W8" s="48">
        <f t="shared" si="2"/>
        <v>3000</v>
      </c>
      <c r="X8" s="48">
        <f t="shared" si="2"/>
        <v>0</v>
      </c>
      <c r="Y8" s="48">
        <f t="shared" si="2"/>
        <v>0</v>
      </c>
      <c r="Z8" s="48">
        <f t="shared" si="2"/>
        <v>0</v>
      </c>
      <c r="AA8" s="48">
        <f>SUM(AA9:AA11)</f>
        <v>0</v>
      </c>
      <c r="AB8" s="48">
        <f>SUM(AB9:AB11)</f>
        <v>0</v>
      </c>
      <c r="AC8" s="48">
        <f>SUM(AC9:AC11)</f>
        <v>0</v>
      </c>
      <c r="AD8" s="48">
        <f>SUM(AD9:AD11)</f>
        <v>4100</v>
      </c>
      <c r="AE8" s="48">
        <f>SUM(AE9:AE11)</f>
        <v>25400</v>
      </c>
      <c r="AF8" s="130">
        <f t="shared" si="1"/>
        <v>13.898305084745763</v>
      </c>
    </row>
    <row r="9" spans="2:34" s="42" customFormat="1" ht="25.5">
      <c r="B9" s="129"/>
      <c r="C9" s="31"/>
      <c r="D9" s="30">
        <v>4210</v>
      </c>
      <c r="E9" s="32" t="s">
        <v>469</v>
      </c>
      <c r="F9" s="52">
        <v>0</v>
      </c>
      <c r="G9" s="51">
        <v>10000</v>
      </c>
      <c r="H9" s="52">
        <v>1000</v>
      </c>
      <c r="I9" s="52">
        <v>1000</v>
      </c>
      <c r="J9" s="286" t="s">
        <v>620</v>
      </c>
      <c r="K9" s="53"/>
      <c r="L9" s="53"/>
      <c r="M9" s="53"/>
      <c r="N9" s="53"/>
      <c r="O9" s="53"/>
      <c r="P9" s="53"/>
      <c r="Q9" s="131">
        <f>I9+K9+L9+M9+N9+O9+P9</f>
        <v>1000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34">
        <f>SUM(R9:AC9)</f>
        <v>0</v>
      </c>
      <c r="AE9" s="52">
        <f>Q9-AD9</f>
        <v>1000</v>
      </c>
      <c r="AF9" s="132">
        <f t="shared" si="1"/>
        <v>0</v>
      </c>
      <c r="AH9" s="73"/>
    </row>
    <row r="10" spans="2:34" s="42" customFormat="1" ht="15.75" customHeight="1">
      <c r="B10" s="129"/>
      <c r="C10" s="31"/>
      <c r="D10" s="30">
        <v>4270</v>
      </c>
      <c r="E10" s="32" t="s">
        <v>470</v>
      </c>
      <c r="F10" s="52">
        <v>35400</v>
      </c>
      <c r="G10" s="51">
        <v>30000</v>
      </c>
      <c r="H10" s="52">
        <v>30000</v>
      </c>
      <c r="I10" s="52">
        <f>30000-2500</f>
        <v>27500</v>
      </c>
      <c r="J10" s="556" t="s">
        <v>621</v>
      </c>
      <c r="K10" s="53"/>
      <c r="L10" s="53"/>
      <c r="M10" s="53"/>
      <c r="N10" s="53"/>
      <c r="O10" s="53"/>
      <c r="P10" s="53"/>
      <c r="Q10" s="131">
        <f aca="true" t="shared" si="3" ref="Q10:Q20">I10+K10+L10+M10+N10+O10+P10</f>
        <v>27500</v>
      </c>
      <c r="R10" s="52"/>
      <c r="S10" s="52"/>
      <c r="T10" s="52"/>
      <c r="U10" s="52">
        <v>1100</v>
      </c>
      <c r="V10" s="52"/>
      <c r="W10" s="52">
        <v>3000</v>
      </c>
      <c r="X10" s="52"/>
      <c r="Y10" s="52"/>
      <c r="Z10" s="52"/>
      <c r="AA10" s="52"/>
      <c r="AB10" s="52"/>
      <c r="AC10" s="52"/>
      <c r="AD10" s="34">
        <f>SUM(R10:AC10)</f>
        <v>4100</v>
      </c>
      <c r="AE10" s="52">
        <f>Q10-AD10</f>
        <v>23400</v>
      </c>
      <c r="AF10" s="132">
        <f t="shared" si="1"/>
        <v>14.909090909090908</v>
      </c>
      <c r="AH10" s="73"/>
    </row>
    <row r="11" spans="2:34" s="42" customFormat="1" ht="16.5" customHeight="1">
      <c r="B11" s="129"/>
      <c r="C11" s="31"/>
      <c r="D11" s="30">
        <v>4300</v>
      </c>
      <c r="E11" s="32" t="s">
        <v>471</v>
      </c>
      <c r="F11" s="52">
        <v>1600</v>
      </c>
      <c r="G11" s="51">
        <v>10000</v>
      </c>
      <c r="H11" s="52">
        <v>1000</v>
      </c>
      <c r="I11" s="52">
        <v>1000</v>
      </c>
      <c r="J11" s="557"/>
      <c r="K11" s="53"/>
      <c r="L11" s="53"/>
      <c r="M11" s="53"/>
      <c r="N11" s="53"/>
      <c r="O11" s="53"/>
      <c r="P11" s="53"/>
      <c r="Q11" s="131">
        <f t="shared" si="3"/>
        <v>1000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34">
        <f>SUM(R11:AC11)</f>
        <v>0</v>
      </c>
      <c r="AE11" s="52">
        <f>Q11-AD11</f>
        <v>1000</v>
      </c>
      <c r="AF11" s="132">
        <f t="shared" si="1"/>
        <v>0</v>
      </c>
      <c r="AH11" s="73"/>
    </row>
    <row r="12" spans="2:32" s="42" customFormat="1" ht="25.5">
      <c r="B12" s="129"/>
      <c r="C12" s="44" t="s">
        <v>311</v>
      </c>
      <c r="D12" s="43"/>
      <c r="E12" s="45" t="s">
        <v>312</v>
      </c>
      <c r="F12" s="48">
        <f aca="true" t="shared" si="4" ref="F12:AE12">SUM(F13:F13)</f>
        <v>783329</v>
      </c>
      <c r="G12" s="46">
        <f t="shared" si="4"/>
        <v>320069</v>
      </c>
      <c r="H12" s="48">
        <f t="shared" si="4"/>
        <v>233038</v>
      </c>
      <c r="I12" s="48">
        <f t="shared" si="4"/>
        <v>233038</v>
      </c>
      <c r="J12" s="289"/>
      <c r="K12" s="49">
        <f t="shared" si="4"/>
        <v>0</v>
      </c>
      <c r="L12" s="49">
        <f t="shared" si="4"/>
        <v>0</v>
      </c>
      <c r="M12" s="49">
        <f t="shared" si="4"/>
        <v>0</v>
      </c>
      <c r="N12" s="49">
        <f t="shared" si="4"/>
        <v>240700</v>
      </c>
      <c r="O12" s="49">
        <f t="shared" si="4"/>
        <v>0</v>
      </c>
      <c r="P12" s="49">
        <f t="shared" si="4"/>
        <v>0</v>
      </c>
      <c r="Q12" s="40">
        <f>SUM(Q13:Q13)</f>
        <v>473738</v>
      </c>
      <c r="R12" s="48">
        <f t="shared" si="4"/>
        <v>95.84</v>
      </c>
      <c r="S12" s="48">
        <f t="shared" si="4"/>
        <v>0</v>
      </c>
      <c r="T12" s="48">
        <f t="shared" si="4"/>
        <v>0</v>
      </c>
      <c r="U12" s="48">
        <f t="shared" si="4"/>
        <v>131162.22</v>
      </c>
      <c r="V12" s="48">
        <f t="shared" si="4"/>
        <v>0</v>
      </c>
      <c r="W12" s="48">
        <f t="shared" si="4"/>
        <v>20675.49</v>
      </c>
      <c r="X12" s="48">
        <f t="shared" si="4"/>
        <v>0</v>
      </c>
      <c r="Y12" s="48">
        <f t="shared" si="4"/>
        <v>0</v>
      </c>
      <c r="Z12" s="48">
        <f t="shared" si="4"/>
        <v>0</v>
      </c>
      <c r="AA12" s="48">
        <f t="shared" si="4"/>
        <v>0</v>
      </c>
      <c r="AB12" s="48">
        <f t="shared" si="4"/>
        <v>0</v>
      </c>
      <c r="AC12" s="48">
        <f t="shared" si="4"/>
        <v>0</v>
      </c>
      <c r="AD12" s="48">
        <f t="shared" si="4"/>
        <v>151933.55</v>
      </c>
      <c r="AE12" s="48">
        <f t="shared" si="4"/>
        <v>321804.45</v>
      </c>
      <c r="AF12" s="130">
        <f t="shared" si="1"/>
        <v>32.071218690499805</v>
      </c>
    </row>
    <row r="13" spans="2:32" s="42" customFormat="1" ht="30.75" customHeight="1">
      <c r="B13" s="133"/>
      <c r="C13" s="31"/>
      <c r="D13" s="30">
        <v>6050</v>
      </c>
      <c r="E13" s="32" t="s">
        <v>472</v>
      </c>
      <c r="F13" s="136">
        <v>783329</v>
      </c>
      <c r="G13" s="134">
        <f>15250+42031+136488+31300+15000+25000+55000</f>
        <v>320069</v>
      </c>
      <c r="H13" s="136">
        <f>15250+136488+31300+15000+25000+10000</f>
        <v>233038</v>
      </c>
      <c r="I13" s="136">
        <f>15250+136488+31300+15000+25000+10000</f>
        <v>233038</v>
      </c>
      <c r="J13" s="289" t="s">
        <v>111</v>
      </c>
      <c r="K13" s="135"/>
      <c r="L13" s="135"/>
      <c r="M13" s="135"/>
      <c r="N13" s="135">
        <f>243000-2300</f>
        <v>240700</v>
      </c>
      <c r="O13" s="135"/>
      <c r="P13" s="135"/>
      <c r="Q13" s="131">
        <f t="shared" si="3"/>
        <v>473738</v>
      </c>
      <c r="R13" s="136">
        <v>95.84</v>
      </c>
      <c r="S13" s="136"/>
      <c r="T13" s="136"/>
      <c r="U13" s="136">
        <f>131081.14+81.08</f>
        <v>131162.22</v>
      </c>
      <c r="V13" s="136"/>
      <c r="W13" s="136">
        <v>20675.49</v>
      </c>
      <c r="X13" s="136"/>
      <c r="Y13" s="136"/>
      <c r="Z13" s="136"/>
      <c r="AA13" s="136"/>
      <c r="AB13" s="136"/>
      <c r="AC13" s="136"/>
      <c r="AD13" s="34">
        <f>SUM(R13:AC13)</f>
        <v>151933.55</v>
      </c>
      <c r="AE13" s="52">
        <f>Q13-AD13</f>
        <v>321804.45</v>
      </c>
      <c r="AF13" s="132">
        <f t="shared" si="1"/>
        <v>32.071218690499805</v>
      </c>
    </row>
    <row r="14" spans="2:32" s="42" customFormat="1" ht="94.5" customHeight="1">
      <c r="B14" s="129"/>
      <c r="C14" s="44" t="s">
        <v>473</v>
      </c>
      <c r="D14" s="43"/>
      <c r="E14" s="45" t="s">
        <v>474</v>
      </c>
      <c r="F14" s="48">
        <f>SUM(F15:F15)</f>
        <v>3705</v>
      </c>
      <c r="G14" s="46">
        <f>SUM(G15:G15)</f>
        <v>5100</v>
      </c>
      <c r="H14" s="48">
        <f>SUM(H15:H15)</f>
        <v>5100</v>
      </c>
      <c r="I14" s="48">
        <f>SUM(I15:I15)</f>
        <v>5100</v>
      </c>
      <c r="J14" s="569" t="s">
        <v>622</v>
      </c>
      <c r="K14" s="49">
        <f aca="true" t="shared" si="5" ref="K14:AC14">SUM(K15:K15)</f>
        <v>0</v>
      </c>
      <c r="L14" s="49">
        <f t="shared" si="5"/>
        <v>0</v>
      </c>
      <c r="M14" s="49">
        <f t="shared" si="5"/>
        <v>0</v>
      </c>
      <c r="N14" s="49">
        <f t="shared" si="5"/>
        <v>0</v>
      </c>
      <c r="O14" s="49">
        <f t="shared" si="5"/>
        <v>0</v>
      </c>
      <c r="P14" s="49">
        <f t="shared" si="5"/>
        <v>0</v>
      </c>
      <c r="Q14" s="40">
        <f t="shared" si="5"/>
        <v>5100</v>
      </c>
      <c r="R14" s="48">
        <f t="shared" si="5"/>
        <v>0</v>
      </c>
      <c r="S14" s="48">
        <f t="shared" si="5"/>
        <v>0</v>
      </c>
      <c r="T14" s="48">
        <f t="shared" si="5"/>
        <v>856</v>
      </c>
      <c r="U14" s="48">
        <f t="shared" si="5"/>
        <v>428</v>
      </c>
      <c r="V14" s="48">
        <f t="shared" si="5"/>
        <v>428</v>
      </c>
      <c r="W14" s="48">
        <f t="shared" si="5"/>
        <v>428</v>
      </c>
      <c r="X14" s="48">
        <f t="shared" si="5"/>
        <v>0</v>
      </c>
      <c r="Y14" s="48">
        <f t="shared" si="5"/>
        <v>0</v>
      </c>
      <c r="Z14" s="48">
        <f t="shared" si="5"/>
        <v>0</v>
      </c>
      <c r="AA14" s="48">
        <f t="shared" si="5"/>
        <v>0</v>
      </c>
      <c r="AB14" s="48">
        <f t="shared" si="5"/>
        <v>0</v>
      </c>
      <c r="AC14" s="48">
        <f t="shared" si="5"/>
        <v>0</v>
      </c>
      <c r="AD14" s="48">
        <f>SUM(AD15:AD15)</f>
        <v>2140</v>
      </c>
      <c r="AE14" s="48">
        <f>SUM(AE15:AE15)</f>
        <v>2960</v>
      </c>
      <c r="AF14" s="130">
        <f t="shared" si="1"/>
        <v>41.96078431372549</v>
      </c>
    </row>
    <row r="15" spans="2:32" s="42" customFormat="1" ht="12.75">
      <c r="B15" s="129"/>
      <c r="C15" s="30"/>
      <c r="D15" s="30">
        <v>4300</v>
      </c>
      <c r="E15" s="32" t="s">
        <v>471</v>
      </c>
      <c r="F15" s="52">
        <v>3705</v>
      </c>
      <c r="G15" s="51">
        <v>5100</v>
      </c>
      <c r="H15" s="52">
        <v>5100</v>
      </c>
      <c r="I15" s="52">
        <v>5100</v>
      </c>
      <c r="J15" s="555"/>
      <c r="K15" s="53"/>
      <c r="L15" s="53"/>
      <c r="M15" s="53"/>
      <c r="N15" s="53"/>
      <c r="O15" s="53"/>
      <c r="P15" s="53"/>
      <c r="Q15" s="131">
        <f t="shared" si="3"/>
        <v>5100</v>
      </c>
      <c r="R15" s="52"/>
      <c r="S15" s="52"/>
      <c r="T15" s="52">
        <v>856</v>
      </c>
      <c r="U15" s="52">
        <v>428</v>
      </c>
      <c r="V15" s="52">
        <v>428</v>
      </c>
      <c r="W15" s="52">
        <v>428</v>
      </c>
      <c r="X15" s="52"/>
      <c r="Y15" s="52"/>
      <c r="Z15" s="52"/>
      <c r="AA15" s="52"/>
      <c r="AB15" s="52"/>
      <c r="AC15" s="52"/>
      <c r="AD15" s="34">
        <f>SUM(R15:AC15)</f>
        <v>2140</v>
      </c>
      <c r="AE15" s="52">
        <f>Q15-AD15</f>
        <v>2960</v>
      </c>
      <c r="AF15" s="132">
        <f t="shared" si="1"/>
        <v>41.96078431372549</v>
      </c>
    </row>
    <row r="16" spans="2:32" s="42" customFormat="1" ht="14.25" customHeight="1">
      <c r="B16" s="129"/>
      <c r="C16" s="44" t="s">
        <v>475</v>
      </c>
      <c r="D16" s="30"/>
      <c r="E16" s="45" t="s">
        <v>476</v>
      </c>
      <c r="F16" s="48">
        <f aca="true" t="shared" si="6" ref="F16:AE16">SUM(F17)</f>
        <v>19000</v>
      </c>
      <c r="G16" s="46">
        <f t="shared" si="6"/>
        <v>12500</v>
      </c>
      <c r="H16" s="48">
        <f t="shared" si="6"/>
        <v>12688</v>
      </c>
      <c r="I16" s="48">
        <f t="shared" si="6"/>
        <v>12688</v>
      </c>
      <c r="J16" s="291"/>
      <c r="K16" s="49">
        <f t="shared" si="6"/>
        <v>0</v>
      </c>
      <c r="L16" s="49">
        <f t="shared" si="6"/>
        <v>0</v>
      </c>
      <c r="M16" s="49">
        <f t="shared" si="6"/>
        <v>0</v>
      </c>
      <c r="N16" s="49">
        <f t="shared" si="6"/>
        <v>0</v>
      </c>
      <c r="O16" s="49">
        <f t="shared" si="6"/>
        <v>0</v>
      </c>
      <c r="P16" s="49">
        <f t="shared" si="6"/>
        <v>0</v>
      </c>
      <c r="Q16" s="40">
        <f>SUM(Q17)</f>
        <v>12688</v>
      </c>
      <c r="R16" s="48">
        <f t="shared" si="6"/>
        <v>681.48</v>
      </c>
      <c r="S16" s="48">
        <f t="shared" si="6"/>
        <v>72.51</v>
      </c>
      <c r="T16" s="48">
        <f t="shared" si="6"/>
        <v>438.5</v>
      </c>
      <c r="U16" s="48">
        <f t="shared" si="6"/>
        <v>2717.67</v>
      </c>
      <c r="V16" s="48">
        <f t="shared" si="6"/>
        <v>113.95</v>
      </c>
      <c r="W16" s="48">
        <f t="shared" si="6"/>
        <v>2676.22</v>
      </c>
      <c r="X16" s="48">
        <f t="shared" si="6"/>
        <v>0</v>
      </c>
      <c r="Y16" s="48">
        <f t="shared" si="6"/>
        <v>0</v>
      </c>
      <c r="Z16" s="48">
        <f t="shared" si="6"/>
        <v>0</v>
      </c>
      <c r="AA16" s="48">
        <f t="shared" si="6"/>
        <v>0</v>
      </c>
      <c r="AB16" s="48">
        <f t="shared" si="6"/>
        <v>0</v>
      </c>
      <c r="AC16" s="48">
        <f t="shared" si="6"/>
        <v>0</v>
      </c>
      <c r="AD16" s="48">
        <f t="shared" si="6"/>
        <v>6700.33</v>
      </c>
      <c r="AE16" s="48">
        <f t="shared" si="6"/>
        <v>5987.67</v>
      </c>
      <c r="AF16" s="130">
        <f t="shared" si="1"/>
        <v>52.80840163934426</v>
      </c>
    </row>
    <row r="17" spans="2:32" s="42" customFormat="1" ht="51">
      <c r="B17" s="129"/>
      <c r="C17" s="30"/>
      <c r="D17" s="30">
        <v>2850</v>
      </c>
      <c r="E17" s="32" t="s">
        <v>477</v>
      </c>
      <c r="F17" s="52">
        <v>19000</v>
      </c>
      <c r="G17" s="51">
        <v>12500</v>
      </c>
      <c r="H17" s="52">
        <v>12688</v>
      </c>
      <c r="I17" s="52">
        <v>12688</v>
      </c>
      <c r="J17" s="289" t="s">
        <v>623</v>
      </c>
      <c r="K17" s="53"/>
      <c r="L17" s="53"/>
      <c r="M17" s="53"/>
      <c r="N17" s="53"/>
      <c r="O17" s="53"/>
      <c r="P17" s="53"/>
      <c r="Q17" s="131">
        <f t="shared" si="3"/>
        <v>12688</v>
      </c>
      <c r="R17" s="52">
        <v>681.48</v>
      </c>
      <c r="S17" s="52">
        <v>72.51</v>
      </c>
      <c r="T17" s="52">
        <v>438.5</v>
      </c>
      <c r="U17" s="52">
        <v>2717.67</v>
      </c>
      <c r="V17" s="52">
        <v>113.95</v>
      </c>
      <c r="W17" s="52">
        <v>2676.22</v>
      </c>
      <c r="X17" s="52"/>
      <c r="Y17" s="52"/>
      <c r="Z17" s="52"/>
      <c r="AA17" s="52"/>
      <c r="AB17" s="52"/>
      <c r="AC17" s="52"/>
      <c r="AD17" s="34">
        <f>SUM(R17:AC17)</f>
        <v>6700.33</v>
      </c>
      <c r="AE17" s="52">
        <f>Q17-AD17</f>
        <v>5987.67</v>
      </c>
      <c r="AF17" s="132">
        <f t="shared" si="1"/>
        <v>52.80840163934426</v>
      </c>
    </row>
    <row r="18" spans="2:32" s="42" customFormat="1" ht="18.75" customHeight="1">
      <c r="B18" s="129"/>
      <c r="C18" s="44" t="s">
        <v>478</v>
      </c>
      <c r="D18" s="43"/>
      <c r="E18" s="45" t="s">
        <v>317</v>
      </c>
      <c r="F18" s="48">
        <f>F20+F19</f>
        <v>19695</v>
      </c>
      <c r="G18" s="46">
        <f>G20+G19</f>
        <v>65000</v>
      </c>
      <c r="H18" s="48">
        <f>H20+H19</f>
        <v>48000</v>
      </c>
      <c r="I18" s="48">
        <f>I20+I19</f>
        <v>18000</v>
      </c>
      <c r="J18" s="289"/>
      <c r="K18" s="49">
        <f aca="true" t="shared" si="7" ref="K18:Z18">K20+K19</f>
        <v>0</v>
      </c>
      <c r="L18" s="49">
        <f t="shared" si="7"/>
        <v>0</v>
      </c>
      <c r="M18" s="49">
        <f t="shared" si="7"/>
        <v>0</v>
      </c>
      <c r="N18" s="49">
        <f t="shared" si="7"/>
        <v>0</v>
      </c>
      <c r="O18" s="49">
        <f t="shared" si="7"/>
        <v>0</v>
      </c>
      <c r="P18" s="49">
        <f t="shared" si="7"/>
        <v>0</v>
      </c>
      <c r="Q18" s="40">
        <f t="shared" si="7"/>
        <v>18000</v>
      </c>
      <c r="R18" s="48">
        <f t="shared" si="7"/>
        <v>0</v>
      </c>
      <c r="S18" s="48">
        <f t="shared" si="7"/>
        <v>0</v>
      </c>
      <c r="T18" s="48">
        <f t="shared" si="7"/>
        <v>0</v>
      </c>
      <c r="U18" s="48">
        <f t="shared" si="7"/>
        <v>0</v>
      </c>
      <c r="V18" s="48">
        <f t="shared" si="7"/>
        <v>0</v>
      </c>
      <c r="W18" s="48">
        <f t="shared" si="7"/>
        <v>0</v>
      </c>
      <c r="X18" s="48">
        <f t="shared" si="7"/>
        <v>0</v>
      </c>
      <c r="Y18" s="48">
        <f t="shared" si="7"/>
        <v>0</v>
      </c>
      <c r="Z18" s="48">
        <f t="shared" si="7"/>
        <v>0</v>
      </c>
      <c r="AA18" s="48">
        <f>AA20+AA19</f>
        <v>0</v>
      </c>
      <c r="AB18" s="48">
        <f>AB20+AB19</f>
        <v>0</v>
      </c>
      <c r="AC18" s="48">
        <f>AC20+AC19</f>
        <v>0</v>
      </c>
      <c r="AD18" s="48">
        <f>AD20+AD19</f>
        <v>0</v>
      </c>
      <c r="AE18" s="48">
        <f>AE20+AE19</f>
        <v>18000</v>
      </c>
      <c r="AF18" s="130">
        <f t="shared" si="1"/>
        <v>0</v>
      </c>
    </row>
    <row r="19" spans="2:32" s="42" customFormat="1" ht="12.75" customHeight="1">
      <c r="B19" s="129"/>
      <c r="C19" s="44"/>
      <c r="D19" s="30">
        <v>4210</v>
      </c>
      <c r="E19" s="32" t="s">
        <v>469</v>
      </c>
      <c r="F19" s="52">
        <v>6000</v>
      </c>
      <c r="G19" s="51">
        <v>10000</v>
      </c>
      <c r="H19" s="52">
        <v>8000</v>
      </c>
      <c r="I19" s="52">
        <v>8000</v>
      </c>
      <c r="J19" s="556" t="s">
        <v>575</v>
      </c>
      <c r="K19" s="53"/>
      <c r="L19" s="53"/>
      <c r="M19" s="53"/>
      <c r="N19" s="53"/>
      <c r="O19" s="53"/>
      <c r="P19" s="53"/>
      <c r="Q19" s="131">
        <f t="shared" si="3"/>
        <v>8000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34">
        <f>SUM(R19:AC19)</f>
        <v>0</v>
      </c>
      <c r="AE19" s="52">
        <f>Q19-AD19</f>
        <v>8000</v>
      </c>
      <c r="AF19" s="132">
        <f t="shared" si="1"/>
        <v>0</v>
      </c>
    </row>
    <row r="20" spans="2:32" s="42" customFormat="1" ht="21.75" customHeight="1">
      <c r="B20" s="129"/>
      <c r="C20" s="30"/>
      <c r="D20" s="30">
        <v>4300</v>
      </c>
      <c r="E20" s="32" t="s">
        <v>471</v>
      </c>
      <c r="F20" s="52">
        <v>13695</v>
      </c>
      <c r="G20" s="51">
        <v>55000</v>
      </c>
      <c r="H20" s="52">
        <v>40000</v>
      </c>
      <c r="I20" s="52">
        <v>10000</v>
      </c>
      <c r="J20" s="557"/>
      <c r="K20" s="53"/>
      <c r="L20" s="53"/>
      <c r="M20" s="53"/>
      <c r="N20" s="53"/>
      <c r="O20" s="53"/>
      <c r="P20" s="53"/>
      <c r="Q20" s="131">
        <f t="shared" si="3"/>
        <v>10000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34">
        <f>SUM(R20:AC20)</f>
        <v>0</v>
      </c>
      <c r="AE20" s="52">
        <f>Q20-AD20</f>
        <v>10000</v>
      </c>
      <c r="AF20" s="132">
        <f t="shared" si="1"/>
        <v>0</v>
      </c>
    </row>
    <row r="21" spans="2:32" s="42" customFormat="1" ht="12.75">
      <c r="B21" s="122" t="s">
        <v>314</v>
      </c>
      <c r="C21" s="123"/>
      <c r="D21" s="123"/>
      <c r="E21" s="124" t="s">
        <v>315</v>
      </c>
      <c r="F21" s="139">
        <f>F22</f>
        <v>5000</v>
      </c>
      <c r="G21" s="137">
        <f>G22</f>
        <v>5000</v>
      </c>
      <c r="H21" s="139">
        <f>H22</f>
        <v>2000</v>
      </c>
      <c r="I21" s="139">
        <f>I22</f>
        <v>2000</v>
      </c>
      <c r="J21" s="292"/>
      <c r="K21" s="138">
        <f aca="true" t="shared" si="8" ref="K21:AC21">K22</f>
        <v>0</v>
      </c>
      <c r="L21" s="138">
        <f t="shared" si="8"/>
        <v>0</v>
      </c>
      <c r="M21" s="138">
        <f t="shared" si="8"/>
        <v>0</v>
      </c>
      <c r="N21" s="138">
        <f t="shared" si="8"/>
        <v>0</v>
      </c>
      <c r="O21" s="138">
        <f t="shared" si="8"/>
        <v>0</v>
      </c>
      <c r="P21" s="138">
        <f t="shared" si="8"/>
        <v>0</v>
      </c>
      <c r="Q21" s="139">
        <f t="shared" si="8"/>
        <v>2000</v>
      </c>
      <c r="R21" s="139">
        <f t="shared" si="8"/>
        <v>0</v>
      </c>
      <c r="S21" s="139">
        <f t="shared" si="8"/>
        <v>0</v>
      </c>
      <c r="T21" s="139">
        <f t="shared" si="8"/>
        <v>0</v>
      </c>
      <c r="U21" s="139">
        <f t="shared" si="8"/>
        <v>0</v>
      </c>
      <c r="V21" s="139">
        <f t="shared" si="8"/>
        <v>0</v>
      </c>
      <c r="W21" s="139">
        <f t="shared" si="8"/>
        <v>0</v>
      </c>
      <c r="X21" s="139">
        <f t="shared" si="8"/>
        <v>0</v>
      </c>
      <c r="Y21" s="139">
        <f t="shared" si="8"/>
        <v>0</v>
      </c>
      <c r="Z21" s="139">
        <f t="shared" si="8"/>
        <v>0</v>
      </c>
      <c r="AA21" s="139">
        <f t="shared" si="8"/>
        <v>0</v>
      </c>
      <c r="AB21" s="139">
        <f t="shared" si="8"/>
        <v>0</v>
      </c>
      <c r="AC21" s="139">
        <f t="shared" si="8"/>
        <v>0</v>
      </c>
      <c r="AD21" s="139">
        <f>AD22</f>
        <v>0</v>
      </c>
      <c r="AE21" s="139">
        <f>AE22</f>
        <v>2000</v>
      </c>
      <c r="AF21" s="128">
        <f t="shared" si="1"/>
        <v>0</v>
      </c>
    </row>
    <row r="22" spans="2:32" s="42" customFormat="1" ht="16.5" customHeight="1">
      <c r="B22" s="129"/>
      <c r="C22" s="44" t="s">
        <v>316</v>
      </c>
      <c r="D22" s="43"/>
      <c r="E22" s="45" t="s">
        <v>317</v>
      </c>
      <c r="F22" s="48">
        <f>SUM(F23:F24)</f>
        <v>5000</v>
      </c>
      <c r="G22" s="46">
        <f>SUM(G23:G24)</f>
        <v>5000</v>
      </c>
      <c r="H22" s="48">
        <f>SUM(H23:H24)</f>
        <v>2000</v>
      </c>
      <c r="I22" s="48">
        <f>SUM(I23:I24)</f>
        <v>2000</v>
      </c>
      <c r="J22" s="289"/>
      <c r="K22" s="49">
        <f aca="true" t="shared" si="9" ref="K22:P22">SUM(K23:K24)</f>
        <v>0</v>
      </c>
      <c r="L22" s="49">
        <f t="shared" si="9"/>
        <v>0</v>
      </c>
      <c r="M22" s="49">
        <f t="shared" si="9"/>
        <v>0</v>
      </c>
      <c r="N22" s="49">
        <f t="shared" si="9"/>
        <v>0</v>
      </c>
      <c r="O22" s="49">
        <f t="shared" si="9"/>
        <v>0</v>
      </c>
      <c r="P22" s="49">
        <f t="shared" si="9"/>
        <v>0</v>
      </c>
      <c r="Q22" s="40">
        <f>Q23+Q24</f>
        <v>2000</v>
      </c>
      <c r="R22" s="48">
        <f>SUM(R23:R24)</f>
        <v>0</v>
      </c>
      <c r="S22" s="48">
        <f aca="true" t="shared" si="10" ref="S22:Z22">SUM(S23:S24)</f>
        <v>0</v>
      </c>
      <c r="T22" s="48">
        <f t="shared" si="10"/>
        <v>0</v>
      </c>
      <c r="U22" s="48">
        <f t="shared" si="10"/>
        <v>0</v>
      </c>
      <c r="V22" s="48">
        <f t="shared" si="10"/>
        <v>0</v>
      </c>
      <c r="W22" s="48">
        <f t="shared" si="10"/>
        <v>0</v>
      </c>
      <c r="X22" s="48">
        <f t="shared" si="10"/>
        <v>0</v>
      </c>
      <c r="Y22" s="48">
        <f t="shared" si="10"/>
        <v>0</v>
      </c>
      <c r="Z22" s="48">
        <f t="shared" si="10"/>
        <v>0</v>
      </c>
      <c r="AA22" s="48">
        <f>SUM(AA23:AA24)</f>
        <v>0</v>
      </c>
      <c r="AB22" s="48">
        <f>SUM(AB23:AB24)</f>
        <v>0</v>
      </c>
      <c r="AC22" s="48">
        <f>SUM(AC23:AC24)</f>
        <v>0</v>
      </c>
      <c r="AD22" s="48">
        <f>SUM(AD23:AD24)</f>
        <v>0</v>
      </c>
      <c r="AE22" s="48">
        <f>SUM(AE23:AE24)</f>
        <v>2000</v>
      </c>
      <c r="AF22" s="130">
        <f t="shared" si="1"/>
        <v>0</v>
      </c>
    </row>
    <row r="23" spans="2:32" s="42" customFormat="1" ht="27.75" customHeight="1">
      <c r="B23" s="129"/>
      <c r="C23" s="31"/>
      <c r="D23" s="30">
        <v>4210</v>
      </c>
      <c r="E23" s="32" t="s">
        <v>469</v>
      </c>
      <c r="F23" s="52">
        <v>2000</v>
      </c>
      <c r="G23" s="51">
        <v>2000</v>
      </c>
      <c r="H23" s="52">
        <v>1000</v>
      </c>
      <c r="I23" s="52">
        <v>1000</v>
      </c>
      <c r="J23" s="289" t="s">
        <v>576</v>
      </c>
      <c r="K23" s="53"/>
      <c r="L23" s="53"/>
      <c r="M23" s="53"/>
      <c r="N23" s="53"/>
      <c r="O23" s="53"/>
      <c r="P23" s="53"/>
      <c r="Q23" s="131">
        <f>I23+K23+L23+M23+N23+O23+P23</f>
        <v>1000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34">
        <f>SUM(R23:AC23)</f>
        <v>0</v>
      </c>
      <c r="AE23" s="52">
        <f>Q23-AD23</f>
        <v>1000</v>
      </c>
      <c r="AF23" s="132">
        <f t="shared" si="1"/>
        <v>0</v>
      </c>
    </row>
    <row r="24" spans="2:32" s="42" customFormat="1" ht="12.75">
      <c r="B24" s="129"/>
      <c r="C24" s="31"/>
      <c r="D24" s="30">
        <v>4300</v>
      </c>
      <c r="E24" s="32" t="s">
        <v>471</v>
      </c>
      <c r="F24" s="52">
        <v>3000</v>
      </c>
      <c r="G24" s="51">
        <v>3000</v>
      </c>
      <c r="H24" s="52">
        <v>1000</v>
      </c>
      <c r="I24" s="52">
        <v>1000</v>
      </c>
      <c r="J24" s="289" t="s">
        <v>624</v>
      </c>
      <c r="K24" s="53"/>
      <c r="L24" s="53"/>
      <c r="M24" s="53"/>
      <c r="N24" s="53"/>
      <c r="O24" s="53"/>
      <c r="P24" s="53"/>
      <c r="Q24" s="131">
        <f>I24+K24+L24+M24+N24+O24+P24</f>
        <v>1000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34">
        <f>SUM(R24:AC24)</f>
        <v>0</v>
      </c>
      <c r="AE24" s="52">
        <f>Q24-AD24</f>
        <v>1000</v>
      </c>
      <c r="AF24" s="132">
        <f t="shared" si="1"/>
        <v>0</v>
      </c>
    </row>
    <row r="25" spans="2:32" s="42" customFormat="1" ht="12.75">
      <c r="B25" s="140">
        <v>600</v>
      </c>
      <c r="C25" s="141"/>
      <c r="D25" s="141"/>
      <c r="E25" s="142" t="s">
        <v>347</v>
      </c>
      <c r="F25" s="139">
        <f>F29+F26</f>
        <v>285230</v>
      </c>
      <c r="G25" s="137">
        <f>G29+G26</f>
        <v>545000</v>
      </c>
      <c r="H25" s="139">
        <f>H29+H26</f>
        <v>25000</v>
      </c>
      <c r="I25" s="139">
        <f>I29+I26</f>
        <v>20000</v>
      </c>
      <c r="J25" s="292"/>
      <c r="K25" s="138">
        <f aca="true" t="shared" si="11" ref="K25:Z25">K29+K26</f>
        <v>0</v>
      </c>
      <c r="L25" s="138">
        <f t="shared" si="11"/>
        <v>139002</v>
      </c>
      <c r="M25" s="138">
        <f t="shared" si="11"/>
        <v>100000</v>
      </c>
      <c r="N25" s="138">
        <f t="shared" si="11"/>
        <v>120000</v>
      </c>
      <c r="O25" s="138">
        <f t="shared" si="11"/>
        <v>0</v>
      </c>
      <c r="P25" s="138">
        <f t="shared" si="11"/>
        <v>0</v>
      </c>
      <c r="Q25" s="139">
        <f t="shared" si="11"/>
        <v>379002</v>
      </c>
      <c r="R25" s="139">
        <f t="shared" si="11"/>
        <v>0</v>
      </c>
      <c r="S25" s="139">
        <f t="shared" si="11"/>
        <v>0</v>
      </c>
      <c r="T25" s="139">
        <f t="shared" si="11"/>
        <v>0</v>
      </c>
      <c r="U25" s="139">
        <f t="shared" si="11"/>
        <v>0</v>
      </c>
      <c r="V25" s="139">
        <f t="shared" si="11"/>
        <v>0</v>
      </c>
      <c r="W25" s="139">
        <f t="shared" si="11"/>
        <v>0</v>
      </c>
      <c r="X25" s="139">
        <f t="shared" si="11"/>
        <v>0</v>
      </c>
      <c r="Y25" s="139">
        <f t="shared" si="11"/>
        <v>0</v>
      </c>
      <c r="Z25" s="139">
        <f t="shared" si="11"/>
        <v>0</v>
      </c>
      <c r="AA25" s="139">
        <f>AA29+AA26</f>
        <v>0</v>
      </c>
      <c r="AB25" s="139">
        <f>AB29+AB26</f>
        <v>0</v>
      </c>
      <c r="AC25" s="139">
        <f>AC29+AC26</f>
        <v>0</v>
      </c>
      <c r="AD25" s="139">
        <f>AD29+AD26</f>
        <v>0</v>
      </c>
      <c r="AE25" s="139">
        <f>AE29+AE26</f>
        <v>379002</v>
      </c>
      <c r="AF25" s="128">
        <f t="shared" si="1"/>
        <v>0</v>
      </c>
    </row>
    <row r="26" spans="2:32" s="66" customFormat="1" ht="12.75">
      <c r="B26" s="143"/>
      <c r="C26" s="23">
        <v>60014</v>
      </c>
      <c r="D26" s="23"/>
      <c r="E26" s="24" t="s">
        <v>479</v>
      </c>
      <c r="F26" s="61">
        <f>F28</f>
        <v>90230</v>
      </c>
      <c r="G26" s="60">
        <f>G28</f>
        <v>100000</v>
      </c>
      <c r="H26" s="61">
        <f>H28</f>
        <v>0</v>
      </c>
      <c r="I26" s="61">
        <f>I28</f>
        <v>0</v>
      </c>
      <c r="J26" s="290"/>
      <c r="K26" s="62">
        <f aca="true" t="shared" si="12" ref="K26:Z26">K28</f>
        <v>0</v>
      </c>
      <c r="L26" s="62">
        <f>L28+L27</f>
        <v>139002</v>
      </c>
      <c r="M26" s="62">
        <f>M28+M27</f>
        <v>100000</v>
      </c>
      <c r="N26" s="62">
        <f t="shared" si="12"/>
        <v>0</v>
      </c>
      <c r="O26" s="62">
        <f t="shared" si="12"/>
        <v>0</v>
      </c>
      <c r="P26" s="62">
        <f t="shared" si="12"/>
        <v>0</v>
      </c>
      <c r="Q26" s="40">
        <f>Q28+Q27</f>
        <v>239002</v>
      </c>
      <c r="R26" s="61">
        <f t="shared" si="12"/>
        <v>0</v>
      </c>
      <c r="S26" s="61">
        <f t="shared" si="12"/>
        <v>0</v>
      </c>
      <c r="T26" s="61">
        <f t="shared" si="12"/>
        <v>0</v>
      </c>
      <c r="U26" s="61">
        <f t="shared" si="12"/>
        <v>0</v>
      </c>
      <c r="V26" s="61">
        <f t="shared" si="12"/>
        <v>0</v>
      </c>
      <c r="W26" s="61">
        <f t="shared" si="12"/>
        <v>0</v>
      </c>
      <c r="X26" s="61">
        <f t="shared" si="12"/>
        <v>0</v>
      </c>
      <c r="Y26" s="61">
        <f t="shared" si="12"/>
        <v>0</v>
      </c>
      <c r="Z26" s="61">
        <f t="shared" si="12"/>
        <v>0</v>
      </c>
      <c r="AA26" s="61">
        <f>AA28</f>
        <v>0</v>
      </c>
      <c r="AB26" s="61">
        <f>AB28</f>
        <v>0</v>
      </c>
      <c r="AC26" s="61">
        <f>AC28</f>
        <v>0</v>
      </c>
      <c r="AD26" s="61">
        <f>AD28+AD27</f>
        <v>0</v>
      </c>
      <c r="AE26" s="61">
        <f>AE28+AE27</f>
        <v>239002</v>
      </c>
      <c r="AF26" s="130">
        <f t="shared" si="1"/>
        <v>0</v>
      </c>
    </row>
    <row r="27" spans="2:32" s="66" customFormat="1" ht="80.25" customHeight="1">
      <c r="B27" s="143"/>
      <c r="C27" s="23"/>
      <c r="D27" s="58">
        <v>6300</v>
      </c>
      <c r="E27" s="59" t="s">
        <v>577</v>
      </c>
      <c r="F27" s="61"/>
      <c r="G27" s="60"/>
      <c r="H27" s="61"/>
      <c r="I27" s="61"/>
      <c r="J27" s="290"/>
      <c r="K27" s="62"/>
      <c r="L27" s="144">
        <v>53901</v>
      </c>
      <c r="M27" s="144">
        <v>100000</v>
      </c>
      <c r="N27" s="62"/>
      <c r="O27" s="62"/>
      <c r="P27" s="62"/>
      <c r="Q27" s="131">
        <f>I27+K27+L27+M27+N27+O27+P27</f>
        <v>153901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34">
        <f>SUM(R27:AC27)</f>
        <v>0</v>
      </c>
      <c r="AE27" s="52">
        <f>Q27-AD27</f>
        <v>153901</v>
      </c>
      <c r="AF27" s="132">
        <f>AD27*100/Q27</f>
        <v>0</v>
      </c>
    </row>
    <row r="28" spans="2:32" s="66" customFormat="1" ht="33" customHeight="1">
      <c r="B28" s="143"/>
      <c r="C28" s="58"/>
      <c r="D28" s="30">
        <v>6050</v>
      </c>
      <c r="E28" s="32" t="s">
        <v>472</v>
      </c>
      <c r="F28" s="69">
        <v>90230</v>
      </c>
      <c r="G28" s="68">
        <v>100000</v>
      </c>
      <c r="H28" s="69"/>
      <c r="I28" s="69"/>
      <c r="J28" s="290" t="s">
        <v>112</v>
      </c>
      <c r="K28" s="70"/>
      <c r="L28" s="70">
        <v>85101</v>
      </c>
      <c r="M28" s="70"/>
      <c r="N28" s="70"/>
      <c r="O28" s="70"/>
      <c r="P28" s="70"/>
      <c r="Q28" s="131">
        <f>I28+K28+L28+M28+N28+O28+P28</f>
        <v>85101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34">
        <f>SUM(R28:AC28)</f>
        <v>0</v>
      </c>
      <c r="AE28" s="52">
        <f>Q28-AD28</f>
        <v>85101</v>
      </c>
      <c r="AF28" s="132">
        <f t="shared" si="1"/>
        <v>0</v>
      </c>
    </row>
    <row r="29" spans="2:32" s="42" customFormat="1" ht="12.75" customHeight="1">
      <c r="B29" s="129"/>
      <c r="C29" s="43">
        <v>60016</v>
      </c>
      <c r="D29" s="43"/>
      <c r="E29" s="45" t="s">
        <v>348</v>
      </c>
      <c r="F29" s="48">
        <f>SUM(F30:F30)</f>
        <v>195000</v>
      </c>
      <c r="G29" s="46">
        <f>SUM(G30:G30)</f>
        <v>445000</v>
      </c>
      <c r="H29" s="48">
        <f>SUM(H30:H30)</f>
        <v>25000</v>
      </c>
      <c r="I29" s="48">
        <f>SUM(I30:I30)</f>
        <v>20000</v>
      </c>
      <c r="J29" s="556" t="s">
        <v>113</v>
      </c>
      <c r="K29" s="49">
        <f aca="true" t="shared" si="13" ref="K29:AC29">SUM(K30:K30)</f>
        <v>0</v>
      </c>
      <c r="L29" s="49">
        <f t="shared" si="13"/>
        <v>0</v>
      </c>
      <c r="M29" s="49">
        <f t="shared" si="13"/>
        <v>0</v>
      </c>
      <c r="N29" s="49">
        <f t="shared" si="13"/>
        <v>120000</v>
      </c>
      <c r="O29" s="49">
        <f t="shared" si="13"/>
        <v>0</v>
      </c>
      <c r="P29" s="49">
        <f t="shared" si="13"/>
        <v>0</v>
      </c>
      <c r="Q29" s="40">
        <f t="shared" si="13"/>
        <v>140000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si="13"/>
        <v>0</v>
      </c>
      <c r="V29" s="48">
        <f t="shared" si="13"/>
        <v>0</v>
      </c>
      <c r="W29" s="48">
        <f t="shared" si="13"/>
        <v>0</v>
      </c>
      <c r="X29" s="48">
        <f t="shared" si="13"/>
        <v>0</v>
      </c>
      <c r="Y29" s="48">
        <f t="shared" si="13"/>
        <v>0</v>
      </c>
      <c r="Z29" s="48">
        <f t="shared" si="13"/>
        <v>0</v>
      </c>
      <c r="AA29" s="48">
        <f t="shared" si="13"/>
        <v>0</v>
      </c>
      <c r="AB29" s="48">
        <f t="shared" si="13"/>
        <v>0</v>
      </c>
      <c r="AC29" s="48">
        <f t="shared" si="13"/>
        <v>0</v>
      </c>
      <c r="AD29" s="48">
        <f>SUM(AD30:AD30)</f>
        <v>0</v>
      </c>
      <c r="AE29" s="48">
        <f>SUM(AE30:AE30)</f>
        <v>140000</v>
      </c>
      <c r="AF29" s="130">
        <f t="shared" si="1"/>
        <v>0</v>
      </c>
    </row>
    <row r="30" spans="2:32" s="42" customFormat="1" ht="31.5" customHeight="1">
      <c r="B30" s="133"/>
      <c r="C30" s="31"/>
      <c r="D30" s="30">
        <v>6050</v>
      </c>
      <c r="E30" s="32" t="s">
        <v>472</v>
      </c>
      <c r="F30" s="52">
        <v>195000</v>
      </c>
      <c r="G30" s="51">
        <f>375000+70000</f>
        <v>445000</v>
      </c>
      <c r="H30" s="52">
        <v>25000</v>
      </c>
      <c r="I30" s="52">
        <v>20000</v>
      </c>
      <c r="J30" s="557"/>
      <c r="K30" s="53"/>
      <c r="L30" s="53"/>
      <c r="M30" s="53"/>
      <c r="N30" s="53">
        <f>40200+30000+46500+300+3000</f>
        <v>120000</v>
      </c>
      <c r="O30" s="53"/>
      <c r="P30" s="53"/>
      <c r="Q30" s="131">
        <f>I30+K30+L30+M30+N30+O30+P30</f>
        <v>140000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34">
        <f>SUM(R30:AC30)</f>
        <v>0</v>
      </c>
      <c r="AE30" s="52">
        <f>Q30-AD30</f>
        <v>140000</v>
      </c>
      <c r="AF30" s="132">
        <f t="shared" si="1"/>
        <v>0</v>
      </c>
    </row>
    <row r="31" spans="2:32" s="42" customFormat="1" ht="12.75">
      <c r="B31" s="140">
        <v>700</v>
      </c>
      <c r="C31" s="141"/>
      <c r="D31" s="141"/>
      <c r="E31" s="142" t="s">
        <v>351</v>
      </c>
      <c r="F31" s="139">
        <f>F35+F32</f>
        <v>701424</v>
      </c>
      <c r="G31" s="137">
        <f>G35+G32</f>
        <v>1618532</v>
      </c>
      <c r="H31" s="139">
        <f>H35+H32</f>
        <v>1426532</v>
      </c>
      <c r="I31" s="139">
        <f>I35+I32</f>
        <v>1398071</v>
      </c>
      <c r="J31" s="292"/>
      <c r="K31" s="138">
        <f aca="true" t="shared" si="14" ref="K31:Z31">K35+K32</f>
        <v>0</v>
      </c>
      <c r="L31" s="138">
        <f t="shared" si="14"/>
        <v>0</v>
      </c>
      <c r="M31" s="138">
        <f t="shared" si="14"/>
        <v>174700</v>
      </c>
      <c r="N31" s="138">
        <f t="shared" si="14"/>
        <v>0</v>
      </c>
      <c r="O31" s="138">
        <f t="shared" si="14"/>
        <v>0</v>
      </c>
      <c r="P31" s="138">
        <f t="shared" si="14"/>
        <v>0</v>
      </c>
      <c r="Q31" s="139">
        <f t="shared" si="14"/>
        <v>1572771</v>
      </c>
      <c r="R31" s="139">
        <f t="shared" si="14"/>
        <v>95088.24</v>
      </c>
      <c r="S31" s="139">
        <f t="shared" si="14"/>
        <v>87233.71</v>
      </c>
      <c r="T31" s="139">
        <f>T35+T32</f>
        <v>13415.72</v>
      </c>
      <c r="U31" s="139">
        <f t="shared" si="14"/>
        <v>92585.61</v>
      </c>
      <c r="V31" s="139">
        <f t="shared" si="14"/>
        <v>214660.22</v>
      </c>
      <c r="W31" s="139">
        <f t="shared" si="14"/>
        <v>46786.43</v>
      </c>
      <c r="X31" s="139">
        <f t="shared" si="14"/>
        <v>0</v>
      </c>
      <c r="Y31" s="139">
        <f t="shared" si="14"/>
        <v>0</v>
      </c>
      <c r="Z31" s="139">
        <f t="shared" si="14"/>
        <v>0</v>
      </c>
      <c r="AA31" s="139">
        <f>AA35+AA32</f>
        <v>0</v>
      </c>
      <c r="AB31" s="139">
        <f>AB35+AB32</f>
        <v>0</v>
      </c>
      <c r="AC31" s="139">
        <f>AC35+AC32</f>
        <v>0</v>
      </c>
      <c r="AD31" s="139">
        <f>AD35+AD32</f>
        <v>549769.9299999999</v>
      </c>
      <c r="AE31" s="139">
        <f>AE35+AE32</f>
        <v>1023001.0700000001</v>
      </c>
      <c r="AF31" s="128">
        <f t="shared" si="1"/>
        <v>34.955497653504544</v>
      </c>
    </row>
    <row r="32" spans="2:32" s="42" customFormat="1" ht="30" customHeight="1">
      <c r="B32" s="129"/>
      <c r="C32" s="43">
        <v>70004</v>
      </c>
      <c r="D32" s="43"/>
      <c r="E32" s="45" t="s">
        <v>481</v>
      </c>
      <c r="F32" s="48">
        <f>SUM(F33:F33)</f>
        <v>370533</v>
      </c>
      <c r="G32" s="46">
        <f>SUM(G33:G33)</f>
        <v>378532</v>
      </c>
      <c r="H32" s="48">
        <f>SUM(H33:H33)</f>
        <v>346532</v>
      </c>
      <c r="I32" s="48">
        <f>SUM(I33:I33)</f>
        <v>318071</v>
      </c>
      <c r="J32" s="291"/>
      <c r="K32" s="49">
        <f aca="true" t="shared" si="15" ref="K32:P32">SUM(K33:K33)</f>
        <v>0</v>
      </c>
      <c r="L32" s="49">
        <f t="shared" si="15"/>
        <v>0</v>
      </c>
      <c r="M32" s="49">
        <f t="shared" si="15"/>
        <v>0</v>
      </c>
      <c r="N32" s="49">
        <f t="shared" si="15"/>
        <v>0</v>
      </c>
      <c r="O32" s="49">
        <f t="shared" si="15"/>
        <v>0</v>
      </c>
      <c r="P32" s="49">
        <f t="shared" si="15"/>
        <v>0</v>
      </c>
      <c r="Q32" s="40">
        <f>SUM(Q33:Q34)</f>
        <v>318071</v>
      </c>
      <c r="R32" s="48">
        <f>SUM(R33:R33)</f>
        <v>80000</v>
      </c>
      <c r="S32" s="48">
        <f aca="true" t="shared" si="16" ref="S32:AC32">SUM(S33:S33)</f>
        <v>85200</v>
      </c>
      <c r="T32" s="48">
        <f t="shared" si="16"/>
        <v>0</v>
      </c>
      <c r="U32" s="48">
        <f t="shared" si="16"/>
        <v>27000</v>
      </c>
      <c r="V32" s="48">
        <f t="shared" si="16"/>
        <v>38800</v>
      </c>
      <c r="W32" s="48">
        <f t="shared" si="16"/>
        <v>0</v>
      </c>
      <c r="X32" s="48">
        <f t="shared" si="16"/>
        <v>0</v>
      </c>
      <c r="Y32" s="48">
        <f t="shared" si="16"/>
        <v>0</v>
      </c>
      <c r="Z32" s="48">
        <f t="shared" si="16"/>
        <v>0</v>
      </c>
      <c r="AA32" s="48">
        <f t="shared" si="16"/>
        <v>0</v>
      </c>
      <c r="AB32" s="48">
        <f t="shared" si="16"/>
        <v>0</v>
      </c>
      <c r="AC32" s="48">
        <f t="shared" si="16"/>
        <v>0</v>
      </c>
      <c r="AD32" s="48">
        <f>SUM(AD33:AD34)</f>
        <v>231000</v>
      </c>
      <c r="AE32" s="48">
        <f>SUM(AE33:AE34)</f>
        <v>87071</v>
      </c>
      <c r="AF32" s="130">
        <f t="shared" si="1"/>
        <v>72.62529435251878</v>
      </c>
    </row>
    <row r="33" spans="2:32" s="6" customFormat="1" ht="39.75" customHeight="1">
      <c r="B33" s="145"/>
      <c r="C33" s="146"/>
      <c r="D33" s="30">
        <v>2650</v>
      </c>
      <c r="E33" s="32" t="s">
        <v>482</v>
      </c>
      <c r="F33" s="52">
        <v>370533</v>
      </c>
      <c r="G33" s="51">
        <v>378532</v>
      </c>
      <c r="H33" s="52">
        <v>346532</v>
      </c>
      <c r="I33" s="52">
        <f>346532-28461</f>
        <v>318071</v>
      </c>
      <c r="J33" s="288" t="s">
        <v>625</v>
      </c>
      <c r="K33" s="53"/>
      <c r="L33" s="53"/>
      <c r="M33" s="53"/>
      <c r="N33" s="53"/>
      <c r="O33" s="53"/>
      <c r="P33" s="53"/>
      <c r="Q33" s="131">
        <f>I33+K33+L33+M33+N33+O33+P33</f>
        <v>318071</v>
      </c>
      <c r="R33" s="52">
        <v>80000</v>
      </c>
      <c r="S33" s="52">
        <v>85200</v>
      </c>
      <c r="T33" s="52"/>
      <c r="U33" s="52">
        <v>27000</v>
      </c>
      <c r="V33" s="52">
        <v>38800</v>
      </c>
      <c r="W33" s="52"/>
      <c r="X33" s="52"/>
      <c r="Y33" s="52"/>
      <c r="Z33" s="52"/>
      <c r="AA33" s="52"/>
      <c r="AB33" s="52"/>
      <c r="AC33" s="52"/>
      <c r="AD33" s="34">
        <f>SUM(R33:AC33)</f>
        <v>231000</v>
      </c>
      <c r="AE33" s="52">
        <f>Q33-AD33</f>
        <v>87071</v>
      </c>
      <c r="AF33" s="132">
        <f t="shared" si="1"/>
        <v>72.62529435251878</v>
      </c>
    </row>
    <row r="34" spans="2:32" s="6" customFormat="1" ht="76.5" customHeight="1" hidden="1">
      <c r="B34" s="145"/>
      <c r="C34" s="146"/>
      <c r="D34" s="30">
        <v>6210</v>
      </c>
      <c r="E34" s="32" t="s">
        <v>519</v>
      </c>
      <c r="F34" s="52"/>
      <c r="G34" s="51"/>
      <c r="H34" s="52"/>
      <c r="I34" s="52"/>
      <c r="J34" s="288"/>
      <c r="K34" s="53"/>
      <c r="L34" s="53"/>
      <c r="M34" s="53"/>
      <c r="N34" s="53"/>
      <c r="O34" s="53"/>
      <c r="P34" s="53"/>
      <c r="Q34" s="131">
        <f>I34+K34+L34+M34+N34+O34+P34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34">
        <f>SUM(R34:AC34)</f>
        <v>0</v>
      </c>
      <c r="AE34" s="52">
        <f>Q34-AD34</f>
        <v>0</v>
      </c>
      <c r="AF34" s="132" t="e">
        <f t="shared" si="1"/>
        <v>#DIV/0!</v>
      </c>
    </row>
    <row r="35" spans="2:32" s="147" customFormat="1" ht="27.75" customHeight="1">
      <c r="B35" s="143"/>
      <c r="C35" s="43">
        <v>70005</v>
      </c>
      <c r="D35" s="43"/>
      <c r="E35" s="45" t="s">
        <v>352</v>
      </c>
      <c r="F35" s="48">
        <f>SUM(F36:F39)</f>
        <v>330891</v>
      </c>
      <c r="G35" s="46">
        <f>SUM(G36:G39)</f>
        <v>1240000</v>
      </c>
      <c r="H35" s="48">
        <f>SUM(H36:H39)</f>
        <v>1080000</v>
      </c>
      <c r="I35" s="48">
        <f>SUM(I36:I39)</f>
        <v>1080000</v>
      </c>
      <c r="J35" s="293"/>
      <c r="K35" s="49">
        <f aca="true" t="shared" si="17" ref="K35:Z35">SUM(K36:K39)</f>
        <v>0</v>
      </c>
      <c r="L35" s="49">
        <f t="shared" si="17"/>
        <v>0</v>
      </c>
      <c r="M35" s="49">
        <f t="shared" si="17"/>
        <v>174700</v>
      </c>
      <c r="N35" s="49">
        <f t="shared" si="17"/>
        <v>0</v>
      </c>
      <c r="O35" s="49">
        <f t="shared" si="17"/>
        <v>0</v>
      </c>
      <c r="P35" s="49">
        <f t="shared" si="17"/>
        <v>0</v>
      </c>
      <c r="Q35" s="40">
        <f t="shared" si="17"/>
        <v>1254700</v>
      </c>
      <c r="R35" s="48">
        <f t="shared" si="17"/>
        <v>15088.24</v>
      </c>
      <c r="S35" s="48">
        <f t="shared" si="17"/>
        <v>2033.71</v>
      </c>
      <c r="T35" s="48">
        <f>SUM(T36:T39)</f>
        <v>13415.72</v>
      </c>
      <c r="U35" s="48">
        <f t="shared" si="17"/>
        <v>65585.61</v>
      </c>
      <c r="V35" s="48">
        <f t="shared" si="17"/>
        <v>175860.22</v>
      </c>
      <c r="W35" s="48">
        <f t="shared" si="17"/>
        <v>46786.43</v>
      </c>
      <c r="X35" s="48">
        <f t="shared" si="17"/>
        <v>0</v>
      </c>
      <c r="Y35" s="48">
        <f t="shared" si="17"/>
        <v>0</v>
      </c>
      <c r="Z35" s="48">
        <f t="shared" si="17"/>
        <v>0</v>
      </c>
      <c r="AA35" s="48">
        <f>SUM(AA36:AA39)</f>
        <v>0</v>
      </c>
      <c r="AB35" s="48">
        <f>SUM(AB36:AB39)</f>
        <v>0</v>
      </c>
      <c r="AC35" s="48">
        <f>SUM(AC36:AC39)</f>
        <v>0</v>
      </c>
      <c r="AD35" s="48">
        <f>SUM(AD36:AD39)</f>
        <v>318769.93</v>
      </c>
      <c r="AE35" s="48">
        <f>SUM(AE36:AE39)</f>
        <v>935930.0700000001</v>
      </c>
      <c r="AF35" s="130">
        <f t="shared" si="1"/>
        <v>25.406067585877103</v>
      </c>
    </row>
    <row r="36" spans="2:32" s="147" customFormat="1" ht="26.25" customHeight="1">
      <c r="B36" s="143"/>
      <c r="C36" s="63"/>
      <c r="D36" s="30">
        <v>4210</v>
      </c>
      <c r="E36" s="32" t="s">
        <v>469</v>
      </c>
      <c r="F36" s="69">
        <v>30000</v>
      </c>
      <c r="G36" s="68">
        <v>25000</v>
      </c>
      <c r="H36" s="69">
        <v>20000</v>
      </c>
      <c r="I36" s="69">
        <v>20000</v>
      </c>
      <c r="J36" s="294" t="s">
        <v>578</v>
      </c>
      <c r="K36" s="70"/>
      <c r="L36" s="70"/>
      <c r="M36" s="70"/>
      <c r="N36" s="70"/>
      <c r="O36" s="70"/>
      <c r="P36" s="70"/>
      <c r="Q36" s="131">
        <f>I36+K36+L36+M36+N36+O36+P36</f>
        <v>20000</v>
      </c>
      <c r="R36" s="69"/>
      <c r="S36" s="69"/>
      <c r="T36" s="69">
        <v>380.15</v>
      </c>
      <c r="U36" s="69">
        <v>11590</v>
      </c>
      <c r="V36" s="69"/>
      <c r="W36" s="69">
        <v>5349.7</v>
      </c>
      <c r="X36" s="69"/>
      <c r="Y36" s="69"/>
      <c r="Z36" s="69"/>
      <c r="AA36" s="69"/>
      <c r="AB36" s="69"/>
      <c r="AC36" s="69"/>
      <c r="AD36" s="34">
        <f>SUM(R36:AC36)</f>
        <v>17319.85</v>
      </c>
      <c r="AE36" s="52">
        <f>Q36-AD36</f>
        <v>2680.1500000000015</v>
      </c>
      <c r="AF36" s="132">
        <f t="shared" si="1"/>
        <v>86.59924999999998</v>
      </c>
    </row>
    <row r="37" spans="2:32" s="147" customFormat="1" ht="24.75" customHeight="1">
      <c r="B37" s="143"/>
      <c r="C37" s="63"/>
      <c r="D37" s="30">
        <v>4300</v>
      </c>
      <c r="E37" s="32" t="s">
        <v>471</v>
      </c>
      <c r="F37" s="69">
        <v>110000</v>
      </c>
      <c r="G37" s="68">
        <v>145000</v>
      </c>
      <c r="H37" s="69">
        <v>60000</v>
      </c>
      <c r="I37" s="69">
        <v>60000</v>
      </c>
      <c r="J37" s="295" t="s">
        <v>626</v>
      </c>
      <c r="K37" s="70"/>
      <c r="L37" s="70"/>
      <c r="M37" s="70"/>
      <c r="N37" s="70"/>
      <c r="O37" s="70"/>
      <c r="P37" s="70"/>
      <c r="Q37" s="131">
        <f>I37+K37+L37+M37+N37+O37+P37</f>
        <v>60000</v>
      </c>
      <c r="R37" s="69">
        <v>15088.24</v>
      </c>
      <c r="S37" s="69">
        <v>2033.71</v>
      </c>
      <c r="T37" s="69">
        <v>4937.57</v>
      </c>
      <c r="U37" s="69">
        <v>2680.61</v>
      </c>
      <c r="V37" s="69">
        <v>1160.22</v>
      </c>
      <c r="W37" s="69">
        <v>6732.73</v>
      </c>
      <c r="X37" s="69"/>
      <c r="Y37" s="69"/>
      <c r="Z37" s="69"/>
      <c r="AA37" s="69"/>
      <c r="AB37" s="69"/>
      <c r="AC37" s="69"/>
      <c r="AD37" s="34">
        <f>SUM(R37:AC37)</f>
        <v>32633.08</v>
      </c>
      <c r="AE37" s="52">
        <f>Q37-AD37</f>
        <v>27366.92</v>
      </c>
      <c r="AF37" s="132">
        <f t="shared" si="1"/>
        <v>54.388466666666666</v>
      </c>
    </row>
    <row r="38" spans="2:32" s="147" customFormat="1" ht="25.5">
      <c r="B38" s="143"/>
      <c r="C38" s="63"/>
      <c r="D38" s="30">
        <v>6050</v>
      </c>
      <c r="E38" s="32" t="s">
        <v>472</v>
      </c>
      <c r="F38" s="69">
        <v>35000</v>
      </c>
      <c r="G38" s="68">
        <v>100000</v>
      </c>
      <c r="H38" s="69">
        <v>40000</v>
      </c>
      <c r="I38" s="69">
        <v>40000</v>
      </c>
      <c r="J38" s="296" t="s">
        <v>627</v>
      </c>
      <c r="K38" s="70"/>
      <c r="L38" s="70"/>
      <c r="M38" s="70"/>
      <c r="N38" s="70"/>
      <c r="O38" s="70"/>
      <c r="P38" s="70"/>
      <c r="Q38" s="131">
        <f>I38+K38+L38+M38+N38+O38+P38</f>
        <v>40000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34">
        <f>SUM(R38:AC38)</f>
        <v>0</v>
      </c>
      <c r="AE38" s="52">
        <f>Q38-AD38</f>
        <v>40000</v>
      </c>
      <c r="AF38" s="132">
        <f t="shared" si="1"/>
        <v>0</v>
      </c>
    </row>
    <row r="39" spans="2:32" s="147" customFormat="1" ht="38.25">
      <c r="B39" s="143"/>
      <c r="C39" s="63"/>
      <c r="D39" s="30">
        <v>6060</v>
      </c>
      <c r="E39" s="32" t="s">
        <v>483</v>
      </c>
      <c r="F39" s="69">
        <v>155891</v>
      </c>
      <c r="G39" s="68">
        <f>40000+930000</f>
        <v>970000</v>
      </c>
      <c r="H39" s="69">
        <v>960000</v>
      </c>
      <c r="I39" s="69">
        <v>960000</v>
      </c>
      <c r="J39" s="296" t="s">
        <v>114</v>
      </c>
      <c r="K39" s="70"/>
      <c r="L39" s="70"/>
      <c r="M39" s="70">
        <v>174700</v>
      </c>
      <c r="N39" s="70"/>
      <c r="O39" s="70"/>
      <c r="P39" s="70"/>
      <c r="Q39" s="131">
        <f>I39+K39+L39+M39+N39+O39+P39</f>
        <v>1134700</v>
      </c>
      <c r="R39" s="69"/>
      <c r="S39" s="69"/>
      <c r="T39" s="69">
        <v>8098</v>
      </c>
      <c r="U39" s="69">
        <v>51315</v>
      </c>
      <c r="V39" s="69">
        <v>174700</v>
      </c>
      <c r="W39" s="69">
        <v>34704</v>
      </c>
      <c r="X39" s="69"/>
      <c r="Y39" s="69"/>
      <c r="Z39" s="69"/>
      <c r="AA39" s="69"/>
      <c r="AB39" s="69"/>
      <c r="AC39" s="69"/>
      <c r="AD39" s="34">
        <f>SUM(R39:AC39)</f>
        <v>268817</v>
      </c>
      <c r="AE39" s="52">
        <f>Q39-AD39</f>
        <v>865883</v>
      </c>
      <c r="AF39" s="132">
        <f t="shared" si="1"/>
        <v>23.690579007667225</v>
      </c>
    </row>
    <row r="40" spans="2:32" s="42" customFormat="1" ht="12.75">
      <c r="B40" s="140">
        <v>710</v>
      </c>
      <c r="C40" s="141"/>
      <c r="D40" s="141"/>
      <c r="E40" s="142" t="s">
        <v>484</v>
      </c>
      <c r="F40" s="139">
        <f>F41+F44</f>
        <v>108435</v>
      </c>
      <c r="G40" s="137">
        <f>G41+G44</f>
        <v>50000</v>
      </c>
      <c r="H40" s="139">
        <f>H41+H44</f>
        <v>20000</v>
      </c>
      <c r="I40" s="139">
        <f>I41+I44</f>
        <v>20000</v>
      </c>
      <c r="J40" s="139"/>
      <c r="K40" s="138">
        <f aca="true" t="shared" si="18" ref="K40:Z40">K41+K44</f>
        <v>0</v>
      </c>
      <c r="L40" s="138">
        <f t="shared" si="18"/>
        <v>13700</v>
      </c>
      <c r="M40" s="138">
        <f t="shared" si="18"/>
        <v>0</v>
      </c>
      <c r="N40" s="138">
        <f t="shared" si="18"/>
        <v>0</v>
      </c>
      <c r="O40" s="138">
        <f t="shared" si="18"/>
        <v>0</v>
      </c>
      <c r="P40" s="138">
        <f t="shared" si="18"/>
        <v>0</v>
      </c>
      <c r="Q40" s="139">
        <f t="shared" si="18"/>
        <v>33700</v>
      </c>
      <c r="R40" s="139">
        <f t="shared" si="18"/>
        <v>0</v>
      </c>
      <c r="S40" s="139">
        <f t="shared" si="18"/>
        <v>0</v>
      </c>
      <c r="T40" s="139">
        <f t="shared" si="18"/>
        <v>1944</v>
      </c>
      <c r="U40" s="139">
        <f t="shared" si="18"/>
        <v>456</v>
      </c>
      <c r="V40" s="139">
        <f t="shared" si="18"/>
        <v>0</v>
      </c>
      <c r="W40" s="139">
        <f t="shared" si="18"/>
        <v>0</v>
      </c>
      <c r="X40" s="139">
        <f t="shared" si="18"/>
        <v>0</v>
      </c>
      <c r="Y40" s="139">
        <f t="shared" si="18"/>
        <v>0</v>
      </c>
      <c r="Z40" s="139">
        <f t="shared" si="18"/>
        <v>0</v>
      </c>
      <c r="AA40" s="139">
        <f>AA41+AA44</f>
        <v>0</v>
      </c>
      <c r="AB40" s="139">
        <f>AB41+AB44</f>
        <v>0</v>
      </c>
      <c r="AC40" s="139">
        <f>AC41+AC44</f>
        <v>0</v>
      </c>
      <c r="AD40" s="139">
        <f>AD41+AD44</f>
        <v>2400</v>
      </c>
      <c r="AE40" s="139">
        <f>AE41+AE44</f>
        <v>31300</v>
      </c>
      <c r="AF40" s="128">
        <f t="shared" si="1"/>
        <v>7.121661721068249</v>
      </c>
    </row>
    <row r="41" spans="2:32" s="42" customFormat="1" ht="27" customHeight="1">
      <c r="B41" s="129"/>
      <c r="C41" s="43">
        <v>71004</v>
      </c>
      <c r="D41" s="43"/>
      <c r="E41" s="45" t="s">
        <v>485</v>
      </c>
      <c r="F41" s="48">
        <f>SUM(F43:F43)</f>
        <v>108435</v>
      </c>
      <c r="G41" s="46">
        <f>SUM(G43:G43)</f>
        <v>50000</v>
      </c>
      <c r="H41" s="48">
        <f>SUM(H43:H43)</f>
        <v>20000</v>
      </c>
      <c r="I41" s="48">
        <f>SUM(I42:I43)</f>
        <v>20000</v>
      </c>
      <c r="J41" s="413"/>
      <c r="K41" s="49">
        <f>SUM(K42:K43)</f>
        <v>0</v>
      </c>
      <c r="L41" s="46">
        <f>SUM(L42:L43)</f>
        <v>-12800</v>
      </c>
      <c r="M41" s="49">
        <f>SUM(M43:M43)</f>
        <v>0</v>
      </c>
      <c r="N41" s="49">
        <f>SUM(N43:N43)</f>
        <v>0</v>
      </c>
      <c r="O41" s="49">
        <f>SUM(O43:O43)</f>
        <v>0</v>
      </c>
      <c r="P41" s="49">
        <f>SUM(P43:P43)</f>
        <v>0</v>
      </c>
      <c r="Q41" s="148">
        <f>SUM(Q42:Q43)</f>
        <v>7200</v>
      </c>
      <c r="R41" s="48">
        <f aca="true" t="shared" si="19" ref="R41:Z41">SUM(R43:R43)</f>
        <v>0</v>
      </c>
      <c r="S41" s="48">
        <f t="shared" si="19"/>
        <v>0</v>
      </c>
      <c r="T41" s="48">
        <f>T42+T43</f>
        <v>1944</v>
      </c>
      <c r="U41" s="48">
        <f>SUM(U42:U43)</f>
        <v>456</v>
      </c>
      <c r="V41" s="48">
        <f t="shared" si="19"/>
        <v>0</v>
      </c>
      <c r="W41" s="48">
        <f t="shared" si="19"/>
        <v>0</v>
      </c>
      <c r="X41" s="48">
        <f t="shared" si="19"/>
        <v>0</v>
      </c>
      <c r="Y41" s="48">
        <f t="shared" si="19"/>
        <v>0</v>
      </c>
      <c r="Z41" s="48">
        <f t="shared" si="19"/>
        <v>0</v>
      </c>
      <c r="AA41" s="48">
        <f>SUM(AA43:AA43)</f>
        <v>0</v>
      </c>
      <c r="AB41" s="48">
        <f>SUM(AB43:AB43)</f>
        <v>0</v>
      </c>
      <c r="AC41" s="48">
        <f>SUM(AC43:AC43)</f>
        <v>0</v>
      </c>
      <c r="AD41" s="48">
        <f>SUM(AD42:AD43)</f>
        <v>2400</v>
      </c>
      <c r="AE41" s="48">
        <f>SUM(AE42:AE43)</f>
        <v>4800</v>
      </c>
      <c r="AF41" s="130">
        <f t="shared" si="1"/>
        <v>33.333333333333336</v>
      </c>
    </row>
    <row r="42" spans="2:32" s="42" customFormat="1" ht="27" customHeight="1">
      <c r="B42" s="129"/>
      <c r="C42" s="43"/>
      <c r="D42" s="30">
        <v>3030</v>
      </c>
      <c r="E42" s="32" t="s">
        <v>490</v>
      </c>
      <c r="F42" s="48"/>
      <c r="G42" s="46"/>
      <c r="H42" s="48"/>
      <c r="I42" s="52"/>
      <c r="J42" s="413"/>
      <c r="K42" s="49"/>
      <c r="L42" s="88">
        <v>7200</v>
      </c>
      <c r="M42" s="49"/>
      <c r="N42" s="49"/>
      <c r="O42" s="49"/>
      <c r="P42" s="49"/>
      <c r="Q42" s="131">
        <f>I42+K42+L42+M42+N42+O42+P42</f>
        <v>7200</v>
      </c>
      <c r="R42" s="52"/>
      <c r="S42" s="52"/>
      <c r="T42" s="52">
        <v>1944</v>
      </c>
      <c r="U42" s="52">
        <v>456</v>
      </c>
      <c r="V42" s="52"/>
      <c r="W42" s="52"/>
      <c r="X42" s="52"/>
      <c r="Y42" s="52"/>
      <c r="Z42" s="52"/>
      <c r="AA42" s="52"/>
      <c r="AB42" s="52"/>
      <c r="AC42" s="52"/>
      <c r="AD42" s="34">
        <f>SUM(R42:AC42)</f>
        <v>2400</v>
      </c>
      <c r="AE42" s="52">
        <f>Q42-AD42</f>
        <v>4800</v>
      </c>
      <c r="AF42" s="132">
        <f t="shared" si="1"/>
        <v>33.333333333333336</v>
      </c>
    </row>
    <row r="43" spans="2:32" s="42" customFormat="1" ht="15.75" customHeight="1">
      <c r="B43" s="129"/>
      <c r="C43" s="30"/>
      <c r="D43" s="30">
        <v>4300</v>
      </c>
      <c r="E43" s="32" t="s">
        <v>471</v>
      </c>
      <c r="F43" s="52">
        <v>108435</v>
      </c>
      <c r="G43" s="51">
        <v>50000</v>
      </c>
      <c r="H43" s="52">
        <v>20000</v>
      </c>
      <c r="I43" s="52">
        <v>20000</v>
      </c>
      <c r="J43" s="289" t="s">
        <v>579</v>
      </c>
      <c r="K43" s="53"/>
      <c r="L43" s="51">
        <v>-20000</v>
      </c>
      <c r="M43" s="53"/>
      <c r="N43" s="53"/>
      <c r="O43" s="53"/>
      <c r="P43" s="53"/>
      <c r="Q43" s="131">
        <f>I43+K43+L43+M43+N43+O43+P43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34">
        <f>SUM(R43:AC43)</f>
        <v>0</v>
      </c>
      <c r="AE43" s="52">
        <f>Q43-AD43</f>
        <v>0</v>
      </c>
      <c r="AF43" s="132"/>
    </row>
    <row r="44" spans="2:32" s="42" customFormat="1" ht="28.5" customHeight="1">
      <c r="B44" s="129"/>
      <c r="C44" s="43">
        <v>71014</v>
      </c>
      <c r="D44" s="43"/>
      <c r="E44" s="45" t="s">
        <v>486</v>
      </c>
      <c r="F44" s="48">
        <f aca="true" t="shared" si="20" ref="F44:AE44">SUM(F45:F45)</f>
        <v>0</v>
      </c>
      <c r="G44" s="46">
        <f t="shared" si="20"/>
        <v>0</v>
      </c>
      <c r="H44" s="48">
        <f t="shared" si="20"/>
        <v>0</v>
      </c>
      <c r="I44" s="48">
        <f t="shared" si="20"/>
        <v>0</v>
      </c>
      <c r="J44" s="289"/>
      <c r="K44" s="49">
        <f t="shared" si="20"/>
        <v>0</v>
      </c>
      <c r="L44" s="49">
        <f t="shared" si="20"/>
        <v>26500</v>
      </c>
      <c r="M44" s="49">
        <f t="shared" si="20"/>
        <v>0</v>
      </c>
      <c r="N44" s="49">
        <f t="shared" si="20"/>
        <v>0</v>
      </c>
      <c r="O44" s="49">
        <f t="shared" si="20"/>
        <v>0</v>
      </c>
      <c r="P44" s="49">
        <f t="shared" si="20"/>
        <v>0</v>
      </c>
      <c r="Q44" s="148">
        <f t="shared" si="20"/>
        <v>26500</v>
      </c>
      <c r="R44" s="48">
        <f t="shared" si="20"/>
        <v>0</v>
      </c>
      <c r="S44" s="48">
        <f t="shared" si="20"/>
        <v>0</v>
      </c>
      <c r="T44" s="48">
        <f t="shared" si="20"/>
        <v>0</v>
      </c>
      <c r="U44" s="48">
        <f t="shared" si="20"/>
        <v>0</v>
      </c>
      <c r="V44" s="48">
        <f t="shared" si="20"/>
        <v>0</v>
      </c>
      <c r="W44" s="48">
        <f t="shared" si="20"/>
        <v>0</v>
      </c>
      <c r="X44" s="48">
        <f t="shared" si="20"/>
        <v>0</v>
      </c>
      <c r="Y44" s="48">
        <f t="shared" si="20"/>
        <v>0</v>
      </c>
      <c r="Z44" s="48">
        <f t="shared" si="20"/>
        <v>0</v>
      </c>
      <c r="AA44" s="48">
        <f t="shared" si="20"/>
        <v>0</v>
      </c>
      <c r="AB44" s="48">
        <f t="shared" si="20"/>
        <v>0</v>
      </c>
      <c r="AC44" s="48">
        <f t="shared" si="20"/>
        <v>0</v>
      </c>
      <c r="AD44" s="48">
        <f t="shared" si="20"/>
        <v>0</v>
      </c>
      <c r="AE44" s="48">
        <f t="shared" si="20"/>
        <v>26500</v>
      </c>
      <c r="AF44" s="130">
        <f t="shared" si="1"/>
        <v>0</v>
      </c>
    </row>
    <row r="45" spans="2:32" s="42" customFormat="1" ht="16.5" customHeight="1">
      <c r="B45" s="129"/>
      <c r="C45" s="30"/>
      <c r="D45" s="30">
        <v>4300</v>
      </c>
      <c r="E45" s="32" t="s">
        <v>471</v>
      </c>
      <c r="F45" s="52"/>
      <c r="G45" s="51"/>
      <c r="H45" s="52"/>
      <c r="I45" s="52"/>
      <c r="J45" s="289" t="s">
        <v>628</v>
      </c>
      <c r="K45" s="53"/>
      <c r="L45" s="53">
        <v>26500</v>
      </c>
      <c r="M45" s="53"/>
      <c r="N45" s="53"/>
      <c r="O45" s="53"/>
      <c r="P45" s="53"/>
      <c r="Q45" s="131">
        <f>I45+K45+L45+M45+N45+O45+P45</f>
        <v>26500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34">
        <f>SUM(R45:AC45)</f>
        <v>0</v>
      </c>
      <c r="AE45" s="52">
        <f>Q45-AD45</f>
        <v>26500</v>
      </c>
      <c r="AF45" s="132">
        <f t="shared" si="1"/>
        <v>0</v>
      </c>
    </row>
    <row r="46" spans="2:32" s="42" customFormat="1" ht="12.75">
      <c r="B46" s="140">
        <v>750</v>
      </c>
      <c r="C46" s="141"/>
      <c r="D46" s="141"/>
      <c r="E46" s="142" t="s">
        <v>362</v>
      </c>
      <c r="F46" s="139">
        <f>F47+F50+F57+F73</f>
        <v>2355552</v>
      </c>
      <c r="G46" s="137">
        <f>G47+G50+G57+G73</f>
        <v>2246140</v>
      </c>
      <c r="H46" s="139">
        <f>H47+H50+H57+H73</f>
        <v>2131150</v>
      </c>
      <c r="I46" s="139">
        <f>I47+I50+I57+I73</f>
        <v>2110650</v>
      </c>
      <c r="J46" s="292"/>
      <c r="K46" s="138">
        <f aca="true" t="shared" si="21" ref="K46:Z46">K47+K50+K57+K73</f>
        <v>0</v>
      </c>
      <c r="L46" s="138">
        <f t="shared" si="21"/>
        <v>5779</v>
      </c>
      <c r="M46" s="138">
        <f t="shared" si="21"/>
        <v>0</v>
      </c>
      <c r="N46" s="138">
        <f t="shared" si="21"/>
        <v>0</v>
      </c>
      <c r="O46" s="138">
        <f t="shared" si="21"/>
        <v>0</v>
      </c>
      <c r="P46" s="138">
        <f t="shared" si="21"/>
        <v>0</v>
      </c>
      <c r="Q46" s="139">
        <f t="shared" si="21"/>
        <v>2116429</v>
      </c>
      <c r="R46" s="139">
        <f t="shared" si="21"/>
        <v>134769.90000000002</v>
      </c>
      <c r="S46" s="139">
        <f t="shared" si="21"/>
        <v>203645.68</v>
      </c>
      <c r="T46" s="139">
        <f>T47+T50+T57+T73</f>
        <v>188205.59000000003</v>
      </c>
      <c r="U46" s="139">
        <f t="shared" si="21"/>
        <v>143735.49</v>
      </c>
      <c r="V46" s="139">
        <f t="shared" si="21"/>
        <v>183414.58999999997</v>
      </c>
      <c r="W46" s="139">
        <f t="shared" si="21"/>
        <v>127659.51</v>
      </c>
      <c r="X46" s="139">
        <f t="shared" si="21"/>
        <v>0</v>
      </c>
      <c r="Y46" s="139">
        <f t="shared" si="21"/>
        <v>0</v>
      </c>
      <c r="Z46" s="139">
        <f t="shared" si="21"/>
        <v>0</v>
      </c>
      <c r="AA46" s="139">
        <f>AA47+AA50+AA57+AA73</f>
        <v>0</v>
      </c>
      <c r="AB46" s="139">
        <f>AB47+AB50+AB57+AB73</f>
        <v>0</v>
      </c>
      <c r="AC46" s="139">
        <f>AC47+AC50+AC57+AC73</f>
        <v>0</v>
      </c>
      <c r="AD46" s="139">
        <f>AD47+AD50+AD57+AD73</f>
        <v>981430.7599999999</v>
      </c>
      <c r="AE46" s="139">
        <f>AE47+AE50+AE57+AE73</f>
        <v>1134998.2400000002</v>
      </c>
      <c r="AF46" s="128">
        <f t="shared" si="1"/>
        <v>46.37201436948747</v>
      </c>
    </row>
    <row r="47" spans="2:32" s="42" customFormat="1" ht="12.75">
      <c r="B47" s="129"/>
      <c r="C47" s="43">
        <v>75011</v>
      </c>
      <c r="D47" s="43"/>
      <c r="E47" s="45" t="s">
        <v>363</v>
      </c>
      <c r="F47" s="48">
        <f>SUM(F48:F49)</f>
        <v>53000</v>
      </c>
      <c r="G47" s="46">
        <f>SUM(G48:G49)</f>
        <v>53800</v>
      </c>
      <c r="H47" s="48">
        <f>SUM(H48:H49)</f>
        <v>53800</v>
      </c>
      <c r="I47" s="48">
        <f>SUM(I48:I49)</f>
        <v>53800</v>
      </c>
      <c r="J47" s="289"/>
      <c r="K47" s="49">
        <f aca="true" t="shared" si="22" ref="K47:Z47">SUM(K48:K49)</f>
        <v>0</v>
      </c>
      <c r="L47" s="49">
        <f t="shared" si="22"/>
        <v>0</v>
      </c>
      <c r="M47" s="49">
        <f t="shared" si="22"/>
        <v>0</v>
      </c>
      <c r="N47" s="49">
        <f t="shared" si="22"/>
        <v>0</v>
      </c>
      <c r="O47" s="49">
        <f t="shared" si="22"/>
        <v>0</v>
      </c>
      <c r="P47" s="49">
        <f t="shared" si="22"/>
        <v>0</v>
      </c>
      <c r="Q47" s="40">
        <f t="shared" si="22"/>
        <v>53800</v>
      </c>
      <c r="R47" s="48">
        <f t="shared" si="22"/>
        <v>0</v>
      </c>
      <c r="S47" s="48">
        <f t="shared" si="22"/>
        <v>0</v>
      </c>
      <c r="T47" s="48">
        <f t="shared" si="22"/>
        <v>13992</v>
      </c>
      <c r="U47" s="48">
        <f t="shared" si="22"/>
        <v>0</v>
      </c>
      <c r="V47" s="48">
        <f t="shared" si="22"/>
        <v>0</v>
      </c>
      <c r="W47" s="48">
        <f t="shared" si="22"/>
        <v>12776</v>
      </c>
      <c r="X47" s="48">
        <f t="shared" si="22"/>
        <v>0</v>
      </c>
      <c r="Y47" s="48">
        <f t="shared" si="22"/>
        <v>0</v>
      </c>
      <c r="Z47" s="48">
        <f t="shared" si="22"/>
        <v>0</v>
      </c>
      <c r="AA47" s="48">
        <f>SUM(AA48:AA49)</f>
        <v>0</v>
      </c>
      <c r="AB47" s="48">
        <f>SUM(AB48:AB49)</f>
        <v>0</v>
      </c>
      <c r="AC47" s="48">
        <f>SUM(AC48:AC49)</f>
        <v>0</v>
      </c>
      <c r="AD47" s="48">
        <f>SUM(AD48:AD49)</f>
        <v>26768</v>
      </c>
      <c r="AE47" s="48">
        <f>SUM(AE48:AE49)</f>
        <v>27032</v>
      </c>
      <c r="AF47" s="130">
        <f t="shared" si="1"/>
        <v>49.7546468401487</v>
      </c>
    </row>
    <row r="48" spans="2:32" s="42" customFormat="1" ht="28.5" customHeight="1">
      <c r="B48" s="129"/>
      <c r="C48" s="30"/>
      <c r="D48" s="30">
        <v>4010</v>
      </c>
      <c r="E48" s="32" t="s">
        <v>487</v>
      </c>
      <c r="F48" s="52">
        <v>45210</v>
      </c>
      <c r="G48" s="51">
        <v>45893</v>
      </c>
      <c r="H48" s="52">
        <v>45893</v>
      </c>
      <c r="I48" s="52">
        <v>45893</v>
      </c>
      <c r="J48" s="556" t="s">
        <v>629</v>
      </c>
      <c r="K48" s="53"/>
      <c r="L48" s="53"/>
      <c r="M48" s="53"/>
      <c r="N48" s="53"/>
      <c r="O48" s="53"/>
      <c r="P48" s="53"/>
      <c r="Q48" s="131">
        <f aca="true" t="shared" si="23" ref="Q48:Q78">I48+K48+L48+M48+N48+O48+P48</f>
        <v>45893</v>
      </c>
      <c r="R48" s="52"/>
      <c r="S48" s="52"/>
      <c r="T48" s="52">
        <v>11935</v>
      </c>
      <c r="U48" s="52"/>
      <c r="V48" s="52"/>
      <c r="W48" s="52">
        <v>10898</v>
      </c>
      <c r="X48" s="52"/>
      <c r="Y48" s="52"/>
      <c r="Z48" s="52"/>
      <c r="AA48" s="52"/>
      <c r="AB48" s="52"/>
      <c r="AC48" s="52"/>
      <c r="AD48" s="34">
        <f>SUM(R48:AC48)</f>
        <v>22833</v>
      </c>
      <c r="AE48" s="52">
        <f>Q48-AD48</f>
        <v>23060</v>
      </c>
      <c r="AF48" s="132">
        <f t="shared" si="1"/>
        <v>49.75268559475301</v>
      </c>
    </row>
    <row r="49" spans="2:32" s="42" customFormat="1" ht="27.75" customHeight="1">
      <c r="B49" s="129"/>
      <c r="C49" s="30"/>
      <c r="D49" s="30">
        <v>4110</v>
      </c>
      <c r="E49" s="32" t="s">
        <v>488</v>
      </c>
      <c r="F49" s="52">
        <v>7790</v>
      </c>
      <c r="G49" s="51">
        <v>7907</v>
      </c>
      <c r="H49" s="52">
        <v>7907</v>
      </c>
      <c r="I49" s="52">
        <v>7907</v>
      </c>
      <c r="J49" s="557"/>
      <c r="K49" s="53"/>
      <c r="L49" s="53"/>
      <c r="M49" s="53"/>
      <c r="N49" s="53"/>
      <c r="O49" s="53"/>
      <c r="P49" s="53"/>
      <c r="Q49" s="131">
        <f t="shared" si="23"/>
        <v>7907</v>
      </c>
      <c r="R49" s="52"/>
      <c r="S49" s="52"/>
      <c r="T49" s="52">
        <v>2057</v>
      </c>
      <c r="U49" s="52"/>
      <c r="V49" s="52"/>
      <c r="W49" s="52">
        <v>1878</v>
      </c>
      <c r="X49" s="52"/>
      <c r="Y49" s="52"/>
      <c r="Z49" s="52"/>
      <c r="AA49" s="52"/>
      <c r="AB49" s="52"/>
      <c r="AC49" s="52"/>
      <c r="AD49" s="34">
        <f>SUM(R49:AC49)</f>
        <v>3935</v>
      </c>
      <c r="AE49" s="52">
        <f>Q49-AD49</f>
        <v>3972</v>
      </c>
      <c r="AF49" s="132">
        <f t="shared" si="1"/>
        <v>49.76603009991147</v>
      </c>
    </row>
    <row r="50" spans="2:32" s="42" customFormat="1" ht="15" customHeight="1">
      <c r="B50" s="129"/>
      <c r="C50" s="43">
        <v>75022</v>
      </c>
      <c r="D50" s="43"/>
      <c r="E50" s="45" t="s">
        <v>489</v>
      </c>
      <c r="F50" s="48">
        <f>SUM(F51:F56)</f>
        <v>172800</v>
      </c>
      <c r="G50" s="46">
        <f>SUM(G51:G56)</f>
        <v>203790</v>
      </c>
      <c r="H50" s="48">
        <f>SUM(H51:H56)</f>
        <v>163300</v>
      </c>
      <c r="I50" s="48">
        <f>SUM(I51:I56)</f>
        <v>151300</v>
      </c>
      <c r="J50" s="289"/>
      <c r="K50" s="49">
        <f aca="true" t="shared" si="24" ref="K50:Z50">SUM(K51:K56)</f>
        <v>0</v>
      </c>
      <c r="L50" s="49">
        <f t="shared" si="24"/>
        <v>0</v>
      </c>
      <c r="M50" s="49">
        <f t="shared" si="24"/>
        <v>0</v>
      </c>
      <c r="N50" s="49">
        <f t="shared" si="24"/>
        <v>0</v>
      </c>
      <c r="O50" s="49">
        <f t="shared" si="24"/>
        <v>0</v>
      </c>
      <c r="P50" s="49">
        <f t="shared" si="24"/>
        <v>0</v>
      </c>
      <c r="Q50" s="40">
        <f t="shared" si="24"/>
        <v>151300</v>
      </c>
      <c r="R50" s="48">
        <f t="shared" si="24"/>
        <v>0</v>
      </c>
      <c r="S50" s="48">
        <f t="shared" si="24"/>
        <v>25013.21</v>
      </c>
      <c r="T50" s="48">
        <f>SUM(T51:T56)</f>
        <v>13108.27</v>
      </c>
      <c r="U50" s="48">
        <f t="shared" si="24"/>
        <v>10007.539999999999</v>
      </c>
      <c r="V50" s="48">
        <f t="shared" si="24"/>
        <v>9850.300000000001</v>
      </c>
      <c r="W50" s="48">
        <f t="shared" si="24"/>
        <v>13347.849999999999</v>
      </c>
      <c r="X50" s="48">
        <f t="shared" si="24"/>
        <v>0</v>
      </c>
      <c r="Y50" s="48">
        <f t="shared" si="24"/>
        <v>0</v>
      </c>
      <c r="Z50" s="48">
        <f t="shared" si="24"/>
        <v>0</v>
      </c>
      <c r="AA50" s="48">
        <f>SUM(AA51:AA56)</f>
        <v>0</v>
      </c>
      <c r="AB50" s="48">
        <f>SUM(AB51:AB56)</f>
        <v>0</v>
      </c>
      <c r="AC50" s="48">
        <f>SUM(AC51:AC56)</f>
        <v>0</v>
      </c>
      <c r="AD50" s="48">
        <f>SUM(AD51:AD56)</f>
        <v>71327.17</v>
      </c>
      <c r="AE50" s="48">
        <f>SUM(AE51:AE56)</f>
        <v>79972.83</v>
      </c>
      <c r="AF50" s="130">
        <f t="shared" si="1"/>
        <v>47.142875082617316</v>
      </c>
    </row>
    <row r="51" spans="2:32" s="42" customFormat="1" ht="27" customHeight="1">
      <c r="B51" s="129"/>
      <c r="C51" s="30"/>
      <c r="D51" s="30">
        <v>3030</v>
      </c>
      <c r="E51" s="32" t="s">
        <v>490</v>
      </c>
      <c r="F51" s="52">
        <v>88800</v>
      </c>
      <c r="G51" s="51">
        <v>117600</v>
      </c>
      <c r="H51" s="52">
        <v>88800</v>
      </c>
      <c r="I51" s="52">
        <v>88800</v>
      </c>
      <c r="J51" s="289" t="s">
        <v>580</v>
      </c>
      <c r="K51" s="53"/>
      <c r="L51" s="53"/>
      <c r="M51" s="53"/>
      <c r="N51" s="53"/>
      <c r="O51" s="53"/>
      <c r="P51" s="53"/>
      <c r="Q51" s="131">
        <f t="shared" si="23"/>
        <v>88800</v>
      </c>
      <c r="R51" s="52"/>
      <c r="S51" s="52">
        <v>7400</v>
      </c>
      <c r="T51" s="52">
        <v>7270</v>
      </c>
      <c r="U51" s="52">
        <v>7090</v>
      </c>
      <c r="V51" s="52">
        <v>7260</v>
      </c>
      <c r="W51" s="52">
        <v>7075</v>
      </c>
      <c r="X51" s="52"/>
      <c r="Y51" s="52"/>
      <c r="Z51" s="52"/>
      <c r="AA51" s="52"/>
      <c r="AB51" s="52"/>
      <c r="AC51" s="52"/>
      <c r="AD51" s="34">
        <f aca="true" t="shared" si="25" ref="AD51:AD56">SUM(R51:AC51)</f>
        <v>36095</v>
      </c>
      <c r="AE51" s="52">
        <f aca="true" t="shared" si="26" ref="AE51:AE56">Q51-AD51</f>
        <v>52705</v>
      </c>
      <c r="AF51" s="132">
        <f t="shared" si="1"/>
        <v>40.64752252252252</v>
      </c>
    </row>
    <row r="52" spans="2:32" s="42" customFormat="1" ht="31.5" customHeight="1">
      <c r="B52" s="129"/>
      <c r="C52" s="30"/>
      <c r="D52" s="30">
        <v>4210</v>
      </c>
      <c r="E52" s="32" t="s">
        <v>469</v>
      </c>
      <c r="F52" s="52">
        <v>50000</v>
      </c>
      <c r="G52" s="51">
        <v>46690</v>
      </c>
      <c r="H52" s="52">
        <v>35000</v>
      </c>
      <c r="I52" s="52">
        <v>30000</v>
      </c>
      <c r="J52" s="289" t="s">
        <v>581</v>
      </c>
      <c r="K52" s="53"/>
      <c r="L52" s="53"/>
      <c r="M52" s="53"/>
      <c r="N52" s="53"/>
      <c r="O52" s="53"/>
      <c r="P52" s="53"/>
      <c r="Q52" s="131">
        <f t="shared" si="23"/>
        <v>30000</v>
      </c>
      <c r="R52" s="52"/>
      <c r="S52" s="52">
        <v>17603.21</v>
      </c>
      <c r="T52" s="52">
        <v>981.59</v>
      </c>
      <c r="U52" s="52">
        <v>617.32</v>
      </c>
      <c r="V52" s="52">
        <v>1435.95</v>
      </c>
      <c r="W52" s="52">
        <v>1158.3</v>
      </c>
      <c r="X52" s="52"/>
      <c r="Y52" s="52"/>
      <c r="Z52" s="52"/>
      <c r="AA52" s="52"/>
      <c r="AB52" s="52"/>
      <c r="AC52" s="52"/>
      <c r="AD52" s="34">
        <f t="shared" si="25"/>
        <v>21796.37</v>
      </c>
      <c r="AE52" s="52">
        <f t="shared" si="26"/>
        <v>8203.630000000001</v>
      </c>
      <c r="AF52" s="132">
        <f t="shared" si="1"/>
        <v>72.65456666666667</v>
      </c>
    </row>
    <row r="53" spans="2:32" s="42" customFormat="1" ht="16.5" customHeight="1">
      <c r="B53" s="129"/>
      <c r="C53" s="30"/>
      <c r="D53" s="30">
        <v>4260</v>
      </c>
      <c r="E53" s="32" t="s">
        <v>496</v>
      </c>
      <c r="F53" s="52"/>
      <c r="G53" s="51"/>
      <c r="H53" s="52"/>
      <c r="I53" s="52"/>
      <c r="J53" s="289"/>
      <c r="K53" s="53"/>
      <c r="L53" s="53"/>
      <c r="M53" s="53"/>
      <c r="N53" s="53">
        <v>4500</v>
      </c>
      <c r="O53" s="53"/>
      <c r="P53" s="53"/>
      <c r="Q53" s="131">
        <f t="shared" si="23"/>
        <v>4500</v>
      </c>
      <c r="R53" s="52"/>
      <c r="S53" s="52"/>
      <c r="T53" s="52"/>
      <c r="U53" s="52"/>
      <c r="V53" s="52"/>
      <c r="W53" s="52">
        <v>333.43</v>
      </c>
      <c r="X53" s="52"/>
      <c r="Y53" s="52"/>
      <c r="Z53" s="52"/>
      <c r="AA53" s="52"/>
      <c r="AB53" s="52"/>
      <c r="AC53" s="52"/>
      <c r="AD53" s="34">
        <f t="shared" si="25"/>
        <v>333.43</v>
      </c>
      <c r="AE53" s="52">
        <f t="shared" si="26"/>
        <v>4166.57</v>
      </c>
      <c r="AF53" s="132">
        <f>AD53*100/Q53</f>
        <v>7.4095555555555555</v>
      </c>
    </row>
    <row r="54" spans="2:32" s="42" customFormat="1" ht="21" customHeight="1">
      <c r="B54" s="129"/>
      <c r="C54" s="30"/>
      <c r="D54" s="30">
        <v>4300</v>
      </c>
      <c r="E54" s="32" t="s">
        <v>471</v>
      </c>
      <c r="F54" s="52">
        <v>30500</v>
      </c>
      <c r="G54" s="51">
        <v>36000</v>
      </c>
      <c r="H54" s="52">
        <v>36000</v>
      </c>
      <c r="I54" s="52">
        <v>31000</v>
      </c>
      <c r="J54" s="289" t="s">
        <v>630</v>
      </c>
      <c r="K54" s="53"/>
      <c r="L54" s="53"/>
      <c r="M54" s="53"/>
      <c r="N54" s="51">
        <v>-4500</v>
      </c>
      <c r="O54" s="53"/>
      <c r="P54" s="53"/>
      <c r="Q54" s="131">
        <f t="shared" si="23"/>
        <v>26500</v>
      </c>
      <c r="R54" s="52"/>
      <c r="S54" s="52">
        <v>10</v>
      </c>
      <c r="T54" s="52">
        <v>4726.84</v>
      </c>
      <c r="U54" s="52">
        <v>2201.76</v>
      </c>
      <c r="V54" s="52">
        <v>1154.35</v>
      </c>
      <c r="W54" s="52">
        <v>4781.12</v>
      </c>
      <c r="X54" s="52"/>
      <c r="Y54" s="52"/>
      <c r="Z54" s="52"/>
      <c r="AA54" s="52"/>
      <c r="AB54" s="52"/>
      <c r="AC54" s="52"/>
      <c r="AD54" s="34">
        <f t="shared" si="25"/>
        <v>12874.07</v>
      </c>
      <c r="AE54" s="52">
        <f t="shared" si="26"/>
        <v>13625.93</v>
      </c>
      <c r="AF54" s="132">
        <f t="shared" si="1"/>
        <v>48.581396226415094</v>
      </c>
    </row>
    <row r="55" spans="2:32" s="42" customFormat="1" ht="14.25" customHeight="1">
      <c r="B55" s="129"/>
      <c r="C55" s="30"/>
      <c r="D55" s="30">
        <v>4410</v>
      </c>
      <c r="E55" s="32" t="s">
        <v>491</v>
      </c>
      <c r="F55" s="52">
        <v>1500</v>
      </c>
      <c r="G55" s="51">
        <v>2000</v>
      </c>
      <c r="H55" s="52">
        <v>2000</v>
      </c>
      <c r="I55" s="52">
        <v>1000</v>
      </c>
      <c r="J55" s="289" t="s">
        <v>631</v>
      </c>
      <c r="K55" s="53"/>
      <c r="L55" s="53"/>
      <c r="M55" s="53"/>
      <c r="N55" s="53"/>
      <c r="O55" s="53"/>
      <c r="P55" s="53"/>
      <c r="Q55" s="131">
        <f t="shared" si="23"/>
        <v>1000</v>
      </c>
      <c r="R55" s="52"/>
      <c r="S55" s="52"/>
      <c r="T55" s="52">
        <v>129.84</v>
      </c>
      <c r="U55" s="52">
        <v>98.46</v>
      </c>
      <c r="V55" s="52"/>
      <c r="W55" s="52"/>
      <c r="X55" s="52"/>
      <c r="Y55" s="52"/>
      <c r="Z55" s="52"/>
      <c r="AA55" s="52"/>
      <c r="AB55" s="52"/>
      <c r="AC55" s="52"/>
      <c r="AD55" s="34">
        <f t="shared" si="25"/>
        <v>228.3</v>
      </c>
      <c r="AE55" s="52">
        <f t="shared" si="26"/>
        <v>771.7</v>
      </c>
      <c r="AF55" s="132">
        <f t="shared" si="1"/>
        <v>22.83</v>
      </c>
    </row>
    <row r="56" spans="2:32" s="42" customFormat="1" ht="15.75" customHeight="1">
      <c r="B56" s="129"/>
      <c r="C56" s="30"/>
      <c r="D56" s="30">
        <v>4420</v>
      </c>
      <c r="E56" s="32" t="s">
        <v>492</v>
      </c>
      <c r="F56" s="52">
        <v>2000</v>
      </c>
      <c r="G56" s="51">
        <v>1500</v>
      </c>
      <c r="H56" s="52">
        <v>1500</v>
      </c>
      <c r="I56" s="52">
        <v>500</v>
      </c>
      <c r="J56" s="289" t="s">
        <v>632</v>
      </c>
      <c r="K56" s="53"/>
      <c r="L56" s="53"/>
      <c r="M56" s="53"/>
      <c r="N56" s="53"/>
      <c r="O56" s="53"/>
      <c r="P56" s="53"/>
      <c r="Q56" s="131">
        <f t="shared" si="23"/>
        <v>500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34">
        <f t="shared" si="25"/>
        <v>0</v>
      </c>
      <c r="AE56" s="52">
        <f t="shared" si="26"/>
        <v>500</v>
      </c>
      <c r="AF56" s="132">
        <f t="shared" si="1"/>
        <v>0</v>
      </c>
    </row>
    <row r="57" spans="2:32" s="42" customFormat="1" ht="14.25" customHeight="1">
      <c r="B57" s="129"/>
      <c r="C57" s="43">
        <v>75023</v>
      </c>
      <c r="D57" s="43"/>
      <c r="E57" s="45" t="s">
        <v>366</v>
      </c>
      <c r="F57" s="48">
        <f>SUM(F58:F72)</f>
        <v>2041753</v>
      </c>
      <c r="G57" s="46">
        <f>SUM(G58:G72)</f>
        <v>1943950</v>
      </c>
      <c r="H57" s="48">
        <f>SUM(H58:H72)</f>
        <v>1864750</v>
      </c>
      <c r="I57" s="48">
        <f>SUM(I58:I72)</f>
        <v>1855850</v>
      </c>
      <c r="J57" s="289">
        <f>H57-I57</f>
        <v>8900</v>
      </c>
      <c r="K57" s="49">
        <f aca="true" t="shared" si="27" ref="K57:Z57">SUM(K58:K72)</f>
        <v>0</v>
      </c>
      <c r="L57" s="49">
        <f t="shared" si="27"/>
        <v>0</v>
      </c>
      <c r="M57" s="49">
        <f t="shared" si="27"/>
        <v>0</v>
      </c>
      <c r="N57" s="49">
        <f t="shared" si="27"/>
        <v>0</v>
      </c>
      <c r="O57" s="49">
        <f t="shared" si="27"/>
        <v>0</v>
      </c>
      <c r="P57" s="49">
        <f t="shared" si="27"/>
        <v>0</v>
      </c>
      <c r="Q57" s="40">
        <f t="shared" si="27"/>
        <v>1855850</v>
      </c>
      <c r="R57" s="48">
        <f t="shared" si="27"/>
        <v>131561.34000000003</v>
      </c>
      <c r="S57" s="48">
        <f t="shared" si="27"/>
        <v>169895.85</v>
      </c>
      <c r="T57" s="48">
        <f>SUM(T58:T72)</f>
        <v>156264.03000000003</v>
      </c>
      <c r="U57" s="48">
        <f>SUM(U58:U72)</f>
        <v>128824.68</v>
      </c>
      <c r="V57" s="48">
        <f t="shared" si="27"/>
        <v>171175.05</v>
      </c>
      <c r="W57" s="48">
        <f t="shared" si="27"/>
        <v>97856.92</v>
      </c>
      <c r="X57" s="48">
        <f t="shared" si="27"/>
        <v>0</v>
      </c>
      <c r="Y57" s="48">
        <f t="shared" si="27"/>
        <v>0</v>
      </c>
      <c r="Z57" s="48">
        <f t="shared" si="27"/>
        <v>0</v>
      </c>
      <c r="AA57" s="48">
        <f>SUM(AA58:AA72)</f>
        <v>0</v>
      </c>
      <c r="AB57" s="48">
        <f>SUM(AB58:AB72)</f>
        <v>0</v>
      </c>
      <c r="AC57" s="48">
        <f>SUM(AC58:AC72)</f>
        <v>0</v>
      </c>
      <c r="AD57" s="48">
        <f>SUM(AD58:AD72)</f>
        <v>855577.8699999999</v>
      </c>
      <c r="AE57" s="48">
        <f>SUM(AE58:AE72)</f>
        <v>1000272.1300000001</v>
      </c>
      <c r="AF57" s="130">
        <f t="shared" si="1"/>
        <v>46.10167147129347</v>
      </c>
    </row>
    <row r="58" spans="2:32" s="42" customFormat="1" ht="27.75" customHeight="1">
      <c r="B58" s="129"/>
      <c r="C58" s="30"/>
      <c r="D58" s="30">
        <v>3020</v>
      </c>
      <c r="E58" s="32" t="s">
        <v>493</v>
      </c>
      <c r="F58" s="52">
        <v>12000</v>
      </c>
      <c r="G58" s="51">
        <v>10000</v>
      </c>
      <c r="H58" s="52">
        <v>10000</v>
      </c>
      <c r="I58" s="52">
        <v>10000</v>
      </c>
      <c r="J58" s="289" t="s">
        <v>633</v>
      </c>
      <c r="K58" s="53"/>
      <c r="L58" s="53"/>
      <c r="M58" s="53"/>
      <c r="N58" s="53"/>
      <c r="O58" s="53"/>
      <c r="P58" s="53"/>
      <c r="Q58" s="131">
        <f t="shared" si="23"/>
        <v>10000</v>
      </c>
      <c r="R58" s="52">
        <v>100</v>
      </c>
      <c r="S58" s="52">
        <v>696.72</v>
      </c>
      <c r="T58" s="52">
        <v>319.66</v>
      </c>
      <c r="U58" s="52">
        <v>222.89</v>
      </c>
      <c r="V58" s="52">
        <v>1743.48</v>
      </c>
      <c r="W58" s="52">
        <v>294.9</v>
      </c>
      <c r="X58" s="52"/>
      <c r="Y58" s="52"/>
      <c r="Z58" s="52"/>
      <c r="AA58" s="52"/>
      <c r="AB58" s="52"/>
      <c r="AC58" s="52"/>
      <c r="AD58" s="34">
        <f aca="true" t="shared" si="28" ref="AD58:AD72">SUM(R58:AC58)</f>
        <v>3377.65</v>
      </c>
      <c r="AE58" s="52">
        <f aca="true" t="shared" si="29" ref="AE58:AE72">Q58-AD58</f>
        <v>6622.35</v>
      </c>
      <c r="AF58" s="132">
        <f t="shared" si="1"/>
        <v>33.7765</v>
      </c>
    </row>
    <row r="59" spans="2:32" s="42" customFormat="1" ht="28.5" customHeight="1">
      <c r="B59" s="129"/>
      <c r="C59" s="30"/>
      <c r="D59" s="30">
        <v>4010</v>
      </c>
      <c r="E59" s="32" t="s">
        <v>487</v>
      </c>
      <c r="F59" s="52">
        <v>1109498</v>
      </c>
      <c r="G59" s="51">
        <v>1206000</v>
      </c>
      <c r="H59" s="52">
        <v>1206000</v>
      </c>
      <c r="I59" s="52">
        <v>1206000</v>
      </c>
      <c r="J59" s="556" t="s">
        <v>582</v>
      </c>
      <c r="K59" s="53"/>
      <c r="L59" s="53"/>
      <c r="M59" s="53"/>
      <c r="N59" s="53"/>
      <c r="O59" s="53"/>
      <c r="P59" s="53"/>
      <c r="Q59" s="131">
        <f t="shared" si="23"/>
        <v>1206000</v>
      </c>
      <c r="R59" s="52">
        <v>86143.11</v>
      </c>
      <c r="S59" s="52">
        <v>83006.82</v>
      </c>
      <c r="T59" s="52">
        <f>81166.57-11935</f>
        <v>69231.57</v>
      </c>
      <c r="U59" s="52">
        <v>84003.55</v>
      </c>
      <c r="V59" s="52">
        <v>82145.26</v>
      </c>
      <c r="W59" s="52">
        <v>56738.43</v>
      </c>
      <c r="X59" s="52"/>
      <c r="Y59" s="52"/>
      <c r="Z59" s="52"/>
      <c r="AA59" s="52"/>
      <c r="AB59" s="52"/>
      <c r="AC59" s="52"/>
      <c r="AD59" s="34">
        <f t="shared" si="28"/>
        <v>461268.74</v>
      </c>
      <c r="AE59" s="52">
        <f t="shared" si="29"/>
        <v>744731.26</v>
      </c>
      <c r="AF59" s="132">
        <f t="shared" si="1"/>
        <v>38.24782255389718</v>
      </c>
    </row>
    <row r="60" spans="2:32" s="42" customFormat="1" ht="25.5">
      <c r="B60" s="129"/>
      <c r="C60" s="30"/>
      <c r="D60" s="30">
        <v>4040</v>
      </c>
      <c r="E60" s="32" t="s">
        <v>494</v>
      </c>
      <c r="F60" s="52">
        <v>77820</v>
      </c>
      <c r="G60" s="51">
        <v>58500</v>
      </c>
      <c r="H60" s="52">
        <v>58500</v>
      </c>
      <c r="I60" s="52">
        <v>58500</v>
      </c>
      <c r="J60" s="558"/>
      <c r="K60" s="53"/>
      <c r="L60" s="53"/>
      <c r="M60" s="53"/>
      <c r="N60" s="53"/>
      <c r="O60" s="53"/>
      <c r="P60" s="53"/>
      <c r="Q60" s="131">
        <f t="shared" si="23"/>
        <v>58500</v>
      </c>
      <c r="R60" s="52"/>
      <c r="S60" s="52">
        <v>37025.5</v>
      </c>
      <c r="T60" s="52">
        <v>19844.46</v>
      </c>
      <c r="U60" s="52"/>
      <c r="V60" s="52"/>
      <c r="W60" s="52"/>
      <c r="X60" s="52"/>
      <c r="Y60" s="52"/>
      <c r="Z60" s="52"/>
      <c r="AA60" s="52"/>
      <c r="AB60" s="52"/>
      <c r="AC60" s="52"/>
      <c r="AD60" s="34">
        <f t="shared" si="28"/>
        <v>56869.96</v>
      </c>
      <c r="AE60" s="52">
        <f t="shared" si="29"/>
        <v>1630.0400000000009</v>
      </c>
      <c r="AF60" s="132">
        <f t="shared" si="1"/>
        <v>97.21360683760683</v>
      </c>
    </row>
    <row r="61" spans="2:32" s="42" customFormat="1" ht="27" customHeight="1">
      <c r="B61" s="129"/>
      <c r="C61" s="30"/>
      <c r="D61" s="30">
        <v>4110</v>
      </c>
      <c r="E61" s="32" t="s">
        <v>488</v>
      </c>
      <c r="F61" s="52">
        <v>179880</v>
      </c>
      <c r="G61" s="51">
        <v>208500</v>
      </c>
      <c r="H61" s="52">
        <v>208500</v>
      </c>
      <c r="I61" s="52">
        <v>208500</v>
      </c>
      <c r="J61" s="558"/>
      <c r="K61" s="53"/>
      <c r="L61" s="53"/>
      <c r="M61" s="53"/>
      <c r="N61" s="53"/>
      <c r="O61" s="53"/>
      <c r="P61" s="53"/>
      <c r="Q61" s="131">
        <f t="shared" si="23"/>
        <v>208500</v>
      </c>
      <c r="R61" s="52">
        <v>11675.38</v>
      </c>
      <c r="S61" s="52">
        <v>14279.27</v>
      </c>
      <c r="T61" s="52">
        <f>24129.64-2057</f>
        <v>22072.64</v>
      </c>
      <c r="U61" s="52">
        <v>14793.7</v>
      </c>
      <c r="V61" s="52">
        <v>16591.72</v>
      </c>
      <c r="W61" s="52">
        <v>11057.23</v>
      </c>
      <c r="X61" s="52"/>
      <c r="Y61" s="52"/>
      <c r="Z61" s="52"/>
      <c r="AA61" s="52"/>
      <c r="AB61" s="52"/>
      <c r="AC61" s="52"/>
      <c r="AD61" s="34">
        <f t="shared" si="28"/>
        <v>90469.94</v>
      </c>
      <c r="AE61" s="52">
        <f t="shared" si="29"/>
        <v>118030.06</v>
      </c>
      <c r="AF61" s="132">
        <f t="shared" si="1"/>
        <v>43.39085851318945</v>
      </c>
    </row>
    <row r="62" spans="2:32" s="42" customFormat="1" ht="17.25" customHeight="1">
      <c r="B62" s="129"/>
      <c r="C62" s="30"/>
      <c r="D62" s="30">
        <v>4120</v>
      </c>
      <c r="E62" s="32" t="s">
        <v>495</v>
      </c>
      <c r="F62" s="52">
        <v>26630</v>
      </c>
      <c r="G62" s="51">
        <v>28500</v>
      </c>
      <c r="H62" s="52">
        <v>28500</v>
      </c>
      <c r="I62" s="52">
        <v>28500</v>
      </c>
      <c r="J62" s="557"/>
      <c r="K62" s="53"/>
      <c r="L62" s="53"/>
      <c r="M62" s="53"/>
      <c r="N62" s="53"/>
      <c r="O62" s="53"/>
      <c r="P62" s="53"/>
      <c r="Q62" s="131">
        <f t="shared" si="23"/>
        <v>28500</v>
      </c>
      <c r="R62" s="52">
        <v>2099.07</v>
      </c>
      <c r="S62" s="52">
        <v>2030.42</v>
      </c>
      <c r="T62" s="52">
        <v>3431.09</v>
      </c>
      <c r="U62" s="52">
        <v>2041.3</v>
      </c>
      <c r="V62" s="52">
        <v>1994.37</v>
      </c>
      <c r="W62" s="52">
        <v>1942.47</v>
      </c>
      <c r="X62" s="52"/>
      <c r="Y62" s="52"/>
      <c r="Z62" s="52"/>
      <c r="AA62" s="52"/>
      <c r="AB62" s="52"/>
      <c r="AC62" s="52"/>
      <c r="AD62" s="34">
        <f t="shared" si="28"/>
        <v>13538.72</v>
      </c>
      <c r="AE62" s="52">
        <f t="shared" si="29"/>
        <v>14961.28</v>
      </c>
      <c r="AF62" s="132">
        <f t="shared" si="1"/>
        <v>47.50428070175439</v>
      </c>
    </row>
    <row r="63" spans="2:32" s="42" customFormat="1" ht="24" customHeight="1">
      <c r="B63" s="129"/>
      <c r="C63" s="30"/>
      <c r="D63" s="30">
        <v>4210</v>
      </c>
      <c r="E63" s="32" t="s">
        <v>469</v>
      </c>
      <c r="F63" s="52">
        <v>185115</v>
      </c>
      <c r="G63" s="51">
        <f>54800+26200+3000</f>
        <v>84000</v>
      </c>
      <c r="H63" s="52">
        <f>54800+26200+3000</f>
        <v>84000</v>
      </c>
      <c r="I63" s="52">
        <f>54800+26200+3000</f>
        <v>84000</v>
      </c>
      <c r="J63" s="289" t="s">
        <v>634</v>
      </c>
      <c r="K63" s="53"/>
      <c r="L63" s="53"/>
      <c r="M63" s="53"/>
      <c r="N63" s="53"/>
      <c r="O63" s="53"/>
      <c r="P63" s="53"/>
      <c r="Q63" s="131">
        <f t="shared" si="23"/>
        <v>84000</v>
      </c>
      <c r="R63" s="52">
        <v>8076.93</v>
      </c>
      <c r="S63" s="52">
        <v>5960.33</v>
      </c>
      <c r="T63" s="52">
        <v>14400.68</v>
      </c>
      <c r="U63" s="52">
        <v>5652.81</v>
      </c>
      <c r="V63" s="52">
        <v>10459.39</v>
      </c>
      <c r="W63" s="52">
        <v>6309.18</v>
      </c>
      <c r="X63" s="52"/>
      <c r="Y63" s="52"/>
      <c r="Z63" s="52"/>
      <c r="AA63" s="52"/>
      <c r="AB63" s="52"/>
      <c r="AC63" s="52"/>
      <c r="AD63" s="34">
        <f t="shared" si="28"/>
        <v>50859.32</v>
      </c>
      <c r="AE63" s="52">
        <f t="shared" si="29"/>
        <v>33140.68</v>
      </c>
      <c r="AF63" s="132">
        <f t="shared" si="1"/>
        <v>60.54680952380952</v>
      </c>
    </row>
    <row r="64" spans="2:32" s="42" customFormat="1" ht="12" customHeight="1">
      <c r="B64" s="129"/>
      <c r="C64" s="30"/>
      <c r="D64" s="30">
        <v>4260</v>
      </c>
      <c r="E64" s="32" t="s">
        <v>496</v>
      </c>
      <c r="F64" s="52">
        <v>26000</v>
      </c>
      <c r="G64" s="51">
        <v>10000</v>
      </c>
      <c r="H64" s="52">
        <v>10000</v>
      </c>
      <c r="I64" s="52">
        <v>10000</v>
      </c>
      <c r="J64" s="289" t="s">
        <v>635</v>
      </c>
      <c r="K64" s="53"/>
      <c r="L64" s="53"/>
      <c r="M64" s="53">
        <v>20000</v>
      </c>
      <c r="N64" s="53"/>
      <c r="O64" s="53"/>
      <c r="P64" s="53"/>
      <c r="Q64" s="131">
        <f t="shared" si="23"/>
        <v>30000</v>
      </c>
      <c r="R64" s="52">
        <v>10.61</v>
      </c>
      <c r="S64" s="52">
        <v>6053.88</v>
      </c>
      <c r="T64" s="52">
        <v>2853.54</v>
      </c>
      <c r="U64" s="52">
        <v>5096.71</v>
      </c>
      <c r="V64" s="52">
        <v>1868.05</v>
      </c>
      <c r="W64" s="52">
        <v>3159.72</v>
      </c>
      <c r="X64" s="52"/>
      <c r="Y64" s="52"/>
      <c r="Z64" s="52"/>
      <c r="AA64" s="52"/>
      <c r="AB64" s="52"/>
      <c r="AC64" s="52"/>
      <c r="AD64" s="34">
        <f t="shared" si="28"/>
        <v>19042.51</v>
      </c>
      <c r="AE64" s="52">
        <f t="shared" si="29"/>
        <v>10957.490000000002</v>
      </c>
      <c r="AF64" s="132">
        <f t="shared" si="1"/>
        <v>63.47503333333333</v>
      </c>
    </row>
    <row r="65" spans="2:32" s="42" customFormat="1" ht="19.5" customHeight="1">
      <c r="B65" s="129"/>
      <c r="C65" s="30"/>
      <c r="D65" s="30">
        <v>4270</v>
      </c>
      <c r="E65" s="32" t="s">
        <v>470</v>
      </c>
      <c r="F65" s="52">
        <v>50000</v>
      </c>
      <c r="G65" s="51">
        <f>12100+10000</f>
        <v>22100</v>
      </c>
      <c r="H65" s="52">
        <f>12100+10000</f>
        <v>22100</v>
      </c>
      <c r="I65" s="52">
        <f>12100+10000</f>
        <v>22100</v>
      </c>
      <c r="J65" s="297" t="s">
        <v>636</v>
      </c>
      <c r="K65" s="53"/>
      <c r="L65" s="53"/>
      <c r="M65" s="53"/>
      <c r="N65" s="53"/>
      <c r="O65" s="53"/>
      <c r="P65" s="53"/>
      <c r="Q65" s="131">
        <f t="shared" si="23"/>
        <v>22100</v>
      </c>
      <c r="R65" s="52">
        <v>341.6</v>
      </c>
      <c r="S65" s="52">
        <v>1976.89</v>
      </c>
      <c r="T65" s="52">
        <v>2405.38</v>
      </c>
      <c r="U65" s="52">
        <v>2492.12</v>
      </c>
      <c r="V65" s="52">
        <v>2223.72</v>
      </c>
      <c r="W65" s="52">
        <v>2714.72</v>
      </c>
      <c r="X65" s="52"/>
      <c r="Y65" s="52"/>
      <c r="Z65" s="52"/>
      <c r="AA65" s="52"/>
      <c r="AB65" s="52"/>
      <c r="AC65" s="52"/>
      <c r="AD65" s="34">
        <f t="shared" si="28"/>
        <v>12154.43</v>
      </c>
      <c r="AE65" s="52">
        <f t="shared" si="29"/>
        <v>9945.57</v>
      </c>
      <c r="AF65" s="132">
        <f t="shared" si="1"/>
        <v>54.99742081447964</v>
      </c>
    </row>
    <row r="66" spans="2:32" s="42" customFormat="1" ht="18" customHeight="1">
      <c r="B66" s="129"/>
      <c r="C66" s="30"/>
      <c r="D66" s="30">
        <v>4300</v>
      </c>
      <c r="E66" s="32" t="s">
        <v>471</v>
      </c>
      <c r="F66" s="52">
        <v>160000</v>
      </c>
      <c r="G66" s="51">
        <f>63650+67000</f>
        <v>130650</v>
      </c>
      <c r="H66" s="52">
        <f>63650+67000</f>
        <v>130650</v>
      </c>
      <c r="I66" s="52">
        <f>63650+67000-4400</f>
        <v>126250</v>
      </c>
      <c r="J66" s="289" t="s">
        <v>583</v>
      </c>
      <c r="K66" s="53"/>
      <c r="L66" s="53"/>
      <c r="M66" s="51">
        <v>-20000</v>
      </c>
      <c r="N66" s="53">
        <v>28</v>
      </c>
      <c r="O66" s="53"/>
      <c r="P66" s="53"/>
      <c r="Q66" s="131">
        <f t="shared" si="23"/>
        <v>106278</v>
      </c>
      <c r="R66" s="52">
        <v>17671.54</v>
      </c>
      <c r="S66" s="52">
        <v>15992.75</v>
      </c>
      <c r="T66" s="52">
        <v>19007.28</v>
      </c>
      <c r="U66" s="52">
        <v>9872.82</v>
      </c>
      <c r="V66" s="52">
        <v>9823.01</v>
      </c>
      <c r="W66" s="52">
        <v>10373.09</v>
      </c>
      <c r="X66" s="52"/>
      <c r="Y66" s="52"/>
      <c r="Z66" s="52"/>
      <c r="AA66" s="52"/>
      <c r="AB66" s="52"/>
      <c r="AC66" s="52"/>
      <c r="AD66" s="34">
        <f t="shared" si="28"/>
        <v>82740.48999999999</v>
      </c>
      <c r="AE66" s="52">
        <f t="shared" si="29"/>
        <v>23537.51000000001</v>
      </c>
      <c r="AF66" s="132">
        <f t="shared" si="1"/>
        <v>77.8528858277348</v>
      </c>
    </row>
    <row r="67" spans="2:32" s="42" customFormat="1" ht="25.5">
      <c r="B67" s="129"/>
      <c r="C67" s="30"/>
      <c r="D67" s="30">
        <v>4350</v>
      </c>
      <c r="E67" s="32" t="s">
        <v>584</v>
      </c>
      <c r="F67" s="52">
        <v>0</v>
      </c>
      <c r="G67" s="51">
        <v>0</v>
      </c>
      <c r="H67" s="52">
        <v>0</v>
      </c>
      <c r="I67" s="52">
        <v>4400</v>
      </c>
      <c r="J67" s="289"/>
      <c r="K67" s="53"/>
      <c r="L67" s="53"/>
      <c r="M67" s="53"/>
      <c r="N67" s="53"/>
      <c r="O67" s="53"/>
      <c r="P67" s="53"/>
      <c r="Q67" s="131">
        <f t="shared" si="23"/>
        <v>4400</v>
      </c>
      <c r="R67" s="52">
        <v>364.78</v>
      </c>
      <c r="S67" s="52">
        <v>364.78</v>
      </c>
      <c r="T67" s="52">
        <v>364.78</v>
      </c>
      <c r="U67" s="52">
        <v>369.61</v>
      </c>
      <c r="V67" s="52">
        <v>366.72</v>
      </c>
      <c r="W67" s="52">
        <v>364.78</v>
      </c>
      <c r="X67" s="52"/>
      <c r="Y67" s="52"/>
      <c r="Z67" s="52"/>
      <c r="AA67" s="52"/>
      <c r="AB67" s="52"/>
      <c r="AC67" s="52"/>
      <c r="AD67" s="34">
        <f t="shared" si="28"/>
        <v>2195.45</v>
      </c>
      <c r="AE67" s="52">
        <f t="shared" si="29"/>
        <v>2204.55</v>
      </c>
      <c r="AF67" s="132">
        <f t="shared" si="1"/>
        <v>49.896590909090904</v>
      </c>
    </row>
    <row r="68" spans="2:32" s="42" customFormat="1" ht="18.75" customHeight="1">
      <c r="B68" s="129"/>
      <c r="C68" s="30"/>
      <c r="D68" s="30">
        <v>4410</v>
      </c>
      <c r="E68" s="32" t="s">
        <v>491</v>
      </c>
      <c r="F68" s="52">
        <v>36000</v>
      </c>
      <c r="G68" s="51">
        <v>30000</v>
      </c>
      <c r="H68" s="52">
        <v>30000</v>
      </c>
      <c r="I68" s="52">
        <v>30000</v>
      </c>
      <c r="J68" s="289" t="s">
        <v>585</v>
      </c>
      <c r="K68" s="53"/>
      <c r="L68" s="53"/>
      <c r="M68" s="53"/>
      <c r="N68" s="53"/>
      <c r="O68" s="53"/>
      <c r="P68" s="53"/>
      <c r="Q68" s="131">
        <f t="shared" si="23"/>
        <v>30000</v>
      </c>
      <c r="R68" s="52">
        <v>1495.64</v>
      </c>
      <c r="S68" s="52">
        <v>2506.05</v>
      </c>
      <c r="T68" s="52">
        <v>2330.51</v>
      </c>
      <c r="U68" s="52">
        <v>3242.21</v>
      </c>
      <c r="V68" s="52">
        <v>2233.89</v>
      </c>
      <c r="W68" s="52">
        <v>3274.96</v>
      </c>
      <c r="X68" s="52"/>
      <c r="Y68" s="52"/>
      <c r="Z68" s="52"/>
      <c r="AA68" s="52"/>
      <c r="AB68" s="52"/>
      <c r="AC68" s="52"/>
      <c r="AD68" s="34">
        <f t="shared" si="28"/>
        <v>15083.259999999998</v>
      </c>
      <c r="AE68" s="52">
        <f t="shared" si="29"/>
        <v>14916.740000000002</v>
      </c>
      <c r="AF68" s="132">
        <f t="shared" si="1"/>
        <v>50.277533333333324</v>
      </c>
    </row>
    <row r="69" spans="2:32" s="42" customFormat="1" ht="15.75" customHeight="1">
      <c r="B69" s="129"/>
      <c r="C69" s="30"/>
      <c r="D69" s="30">
        <v>4420</v>
      </c>
      <c r="E69" s="32" t="s">
        <v>492</v>
      </c>
      <c r="F69" s="52">
        <v>2000</v>
      </c>
      <c r="G69" s="51">
        <v>2000</v>
      </c>
      <c r="H69" s="52">
        <v>2000</v>
      </c>
      <c r="I69" s="52">
        <v>2000</v>
      </c>
      <c r="J69" s="289"/>
      <c r="K69" s="53"/>
      <c r="L69" s="53"/>
      <c r="M69" s="53"/>
      <c r="N69" s="53"/>
      <c r="O69" s="53"/>
      <c r="P69" s="53"/>
      <c r="Q69" s="131">
        <f t="shared" si="23"/>
        <v>2000</v>
      </c>
      <c r="R69" s="52"/>
      <c r="S69" s="52"/>
      <c r="T69" s="52"/>
      <c r="U69" s="52">
        <v>211.95</v>
      </c>
      <c r="V69" s="52"/>
      <c r="W69" s="52"/>
      <c r="X69" s="52"/>
      <c r="Y69" s="52"/>
      <c r="Z69" s="52"/>
      <c r="AA69" s="52"/>
      <c r="AB69" s="52"/>
      <c r="AC69" s="52"/>
      <c r="AD69" s="34">
        <f t="shared" si="28"/>
        <v>211.95</v>
      </c>
      <c r="AE69" s="52">
        <f t="shared" si="29"/>
        <v>1788.05</v>
      </c>
      <c r="AF69" s="132">
        <f t="shared" si="1"/>
        <v>10.5975</v>
      </c>
    </row>
    <row r="70" spans="2:32" s="42" customFormat="1" ht="16.5" customHeight="1">
      <c r="B70" s="129"/>
      <c r="C70" s="30"/>
      <c r="D70" s="30">
        <v>4430</v>
      </c>
      <c r="E70" s="32" t="s">
        <v>497</v>
      </c>
      <c r="F70" s="52">
        <v>45308</v>
      </c>
      <c r="G70" s="51">
        <f>9300+6900+10000</f>
        <v>26200</v>
      </c>
      <c r="H70" s="52">
        <f>9300+6900+1000</f>
        <v>17200</v>
      </c>
      <c r="I70" s="52">
        <f>9300+6900+1000</f>
        <v>17200</v>
      </c>
      <c r="J70" s="289" t="s">
        <v>586</v>
      </c>
      <c r="K70" s="53"/>
      <c r="L70" s="53"/>
      <c r="M70" s="53"/>
      <c r="N70" s="53"/>
      <c r="O70" s="53"/>
      <c r="P70" s="53"/>
      <c r="Q70" s="131">
        <f t="shared" si="23"/>
        <v>17200</v>
      </c>
      <c r="R70" s="52">
        <v>3582.68</v>
      </c>
      <c r="S70" s="52">
        <v>2.44</v>
      </c>
      <c r="T70" s="52">
        <v>2.44</v>
      </c>
      <c r="U70" s="52">
        <v>825.01</v>
      </c>
      <c r="V70" s="52">
        <v>1353.44</v>
      </c>
      <c r="W70" s="52">
        <v>1627.44</v>
      </c>
      <c r="X70" s="52"/>
      <c r="Y70" s="52"/>
      <c r="Z70" s="52"/>
      <c r="AA70" s="52"/>
      <c r="AB70" s="52"/>
      <c r="AC70" s="52"/>
      <c r="AD70" s="34">
        <f t="shared" si="28"/>
        <v>7393.450000000001</v>
      </c>
      <c r="AE70" s="52">
        <f t="shared" si="29"/>
        <v>9806.55</v>
      </c>
      <c r="AF70" s="132">
        <f t="shared" si="1"/>
        <v>42.98517441860466</v>
      </c>
    </row>
    <row r="71" spans="2:32" s="42" customFormat="1" ht="28.5" customHeight="1">
      <c r="B71" s="129"/>
      <c r="C71" s="30"/>
      <c r="D71" s="30">
        <v>4440</v>
      </c>
      <c r="E71" s="32" t="s">
        <v>498</v>
      </c>
      <c r="F71" s="52">
        <v>31502</v>
      </c>
      <c r="G71" s="51">
        <v>33000</v>
      </c>
      <c r="H71" s="52">
        <v>33000</v>
      </c>
      <c r="I71" s="52">
        <v>33000</v>
      </c>
      <c r="J71" s="289"/>
      <c r="K71" s="53"/>
      <c r="L71" s="53"/>
      <c r="M71" s="53"/>
      <c r="N71" s="53"/>
      <c r="O71" s="53"/>
      <c r="P71" s="53"/>
      <c r="Q71" s="131">
        <f t="shared" si="23"/>
        <v>33000</v>
      </c>
      <c r="R71" s="52"/>
      <c r="S71" s="52"/>
      <c r="T71" s="52"/>
      <c r="U71" s="52"/>
      <c r="V71" s="52">
        <v>25000</v>
      </c>
      <c r="W71" s="52"/>
      <c r="X71" s="52"/>
      <c r="Y71" s="52"/>
      <c r="Z71" s="52"/>
      <c r="AA71" s="52"/>
      <c r="AB71" s="52"/>
      <c r="AC71" s="52"/>
      <c r="AD71" s="34">
        <f t="shared" si="28"/>
        <v>25000</v>
      </c>
      <c r="AE71" s="52">
        <f t="shared" si="29"/>
        <v>8000</v>
      </c>
      <c r="AF71" s="132">
        <f aca="true" t="shared" si="30" ref="AF71:AF134">AD71*100/Q71</f>
        <v>75.75757575757575</v>
      </c>
    </row>
    <row r="72" spans="2:32" s="42" customFormat="1" ht="38.25" customHeight="1">
      <c r="B72" s="129"/>
      <c r="C72" s="30"/>
      <c r="D72" s="30">
        <v>6060</v>
      </c>
      <c r="E72" s="32" t="s">
        <v>483</v>
      </c>
      <c r="F72" s="52">
        <v>100000</v>
      </c>
      <c r="G72" s="51">
        <f>70200+24300</f>
        <v>94500</v>
      </c>
      <c r="H72" s="52">
        <f>24300</f>
        <v>24300</v>
      </c>
      <c r="I72" s="52">
        <v>15400</v>
      </c>
      <c r="J72" s="289" t="s">
        <v>218</v>
      </c>
      <c r="K72" s="53"/>
      <c r="L72" s="53"/>
      <c r="M72" s="53"/>
      <c r="N72" s="51">
        <v>-28</v>
      </c>
      <c r="O72" s="53"/>
      <c r="P72" s="53"/>
      <c r="Q72" s="131">
        <f t="shared" si="23"/>
        <v>15372</v>
      </c>
      <c r="R72" s="52"/>
      <c r="S72" s="52"/>
      <c r="T72" s="52"/>
      <c r="U72" s="52"/>
      <c r="V72" s="52">
        <v>15372</v>
      </c>
      <c r="W72" s="52"/>
      <c r="X72" s="52"/>
      <c r="Y72" s="52"/>
      <c r="Z72" s="52"/>
      <c r="AA72" s="52"/>
      <c r="AB72" s="52"/>
      <c r="AC72" s="52"/>
      <c r="AD72" s="34">
        <f t="shared" si="28"/>
        <v>15372</v>
      </c>
      <c r="AE72" s="52">
        <f t="shared" si="29"/>
        <v>0</v>
      </c>
      <c r="AF72" s="132">
        <f t="shared" si="30"/>
        <v>100</v>
      </c>
    </row>
    <row r="73" spans="2:32" s="42" customFormat="1" ht="12.75">
      <c r="B73" s="129"/>
      <c r="C73" s="43">
        <v>75095</v>
      </c>
      <c r="D73" s="43"/>
      <c r="E73" s="45" t="s">
        <v>317</v>
      </c>
      <c r="F73" s="48">
        <f>SUM(F74:F78)</f>
        <v>87999</v>
      </c>
      <c r="G73" s="46">
        <f>SUM(G74:G78)</f>
        <v>44600</v>
      </c>
      <c r="H73" s="48">
        <f>SUM(H74:H78)</f>
        <v>49300</v>
      </c>
      <c r="I73" s="48">
        <f>SUM(I74:I78)</f>
        <v>49700</v>
      </c>
      <c r="J73" s="289"/>
      <c r="K73" s="49">
        <f aca="true" t="shared" si="31" ref="K73:Z73">SUM(K74:K78)</f>
        <v>0</v>
      </c>
      <c r="L73" s="49">
        <f t="shared" si="31"/>
        <v>5779</v>
      </c>
      <c r="M73" s="49">
        <f t="shared" si="31"/>
        <v>0</v>
      </c>
      <c r="N73" s="49">
        <f t="shared" si="31"/>
        <v>0</v>
      </c>
      <c r="O73" s="49">
        <f t="shared" si="31"/>
        <v>0</v>
      </c>
      <c r="P73" s="49">
        <f t="shared" si="31"/>
        <v>0</v>
      </c>
      <c r="Q73" s="40">
        <f t="shared" si="31"/>
        <v>55479</v>
      </c>
      <c r="R73" s="48">
        <f t="shared" si="31"/>
        <v>3208.56</v>
      </c>
      <c r="S73" s="48">
        <f t="shared" si="31"/>
        <v>8736.619999999999</v>
      </c>
      <c r="T73" s="48">
        <f>SUM(T74:T78)</f>
        <v>4841.290000000001</v>
      </c>
      <c r="U73" s="48">
        <f>SUM(U74:U78)</f>
        <v>4903.2699999999995</v>
      </c>
      <c r="V73" s="48">
        <f t="shared" si="31"/>
        <v>2389.2400000000002</v>
      </c>
      <c r="W73" s="48">
        <f t="shared" si="31"/>
        <v>3678.74</v>
      </c>
      <c r="X73" s="48">
        <f t="shared" si="31"/>
        <v>0</v>
      </c>
      <c r="Y73" s="48">
        <f t="shared" si="31"/>
        <v>0</v>
      </c>
      <c r="Z73" s="48">
        <f t="shared" si="31"/>
        <v>0</v>
      </c>
      <c r="AA73" s="48">
        <f>SUM(AA74:AA78)</f>
        <v>0</v>
      </c>
      <c r="AB73" s="48">
        <f>SUM(AB74:AB78)</f>
        <v>0</v>
      </c>
      <c r="AC73" s="48">
        <f>SUM(AC74:AC78)</f>
        <v>0</v>
      </c>
      <c r="AD73" s="48">
        <f>SUM(AD74:AD78)</f>
        <v>27757.719999999998</v>
      </c>
      <c r="AE73" s="48">
        <f>SUM(AE74:AE78)</f>
        <v>27721.28</v>
      </c>
      <c r="AF73" s="130">
        <f t="shared" si="30"/>
        <v>50.03284125524973</v>
      </c>
    </row>
    <row r="74" spans="2:32" s="42" customFormat="1" ht="17.25" customHeight="1">
      <c r="B74" s="129"/>
      <c r="C74" s="43"/>
      <c r="D74" s="153">
        <v>4170</v>
      </c>
      <c r="E74" s="154" t="s">
        <v>543</v>
      </c>
      <c r="F74" s="52">
        <v>0</v>
      </c>
      <c r="G74" s="51">
        <v>6600</v>
      </c>
      <c r="H74" s="52">
        <v>3300</v>
      </c>
      <c r="I74" s="52">
        <v>3300</v>
      </c>
      <c r="J74" s="287"/>
      <c r="K74" s="53"/>
      <c r="L74" s="53"/>
      <c r="M74" s="53"/>
      <c r="N74" s="53"/>
      <c r="O74" s="53"/>
      <c r="P74" s="53"/>
      <c r="Q74" s="131">
        <f t="shared" si="23"/>
        <v>3300</v>
      </c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34">
        <f>SUM(R74:AC74)</f>
        <v>0</v>
      </c>
      <c r="AE74" s="52">
        <f>Q74-AD74</f>
        <v>3300</v>
      </c>
      <c r="AF74" s="132">
        <f t="shared" si="30"/>
        <v>0</v>
      </c>
    </row>
    <row r="75" spans="2:32" s="42" customFormat="1" ht="27.75" customHeight="1">
      <c r="B75" s="129"/>
      <c r="C75" s="43"/>
      <c r="D75" s="30">
        <v>4210</v>
      </c>
      <c r="E75" s="32" t="s">
        <v>469</v>
      </c>
      <c r="F75" s="52">
        <v>33000</v>
      </c>
      <c r="G75" s="51">
        <v>10000</v>
      </c>
      <c r="H75" s="52">
        <v>20000</v>
      </c>
      <c r="I75" s="52">
        <v>10400</v>
      </c>
      <c r="J75" s="298" t="s">
        <v>219</v>
      </c>
      <c r="K75" s="53"/>
      <c r="L75" s="53"/>
      <c r="M75" s="53"/>
      <c r="N75" s="53"/>
      <c r="O75" s="53"/>
      <c r="P75" s="53"/>
      <c r="Q75" s="131">
        <f t="shared" si="23"/>
        <v>10400</v>
      </c>
      <c r="R75" s="52">
        <v>1294.57</v>
      </c>
      <c r="S75" s="52">
        <v>627.05</v>
      </c>
      <c r="T75" s="52">
        <v>681.19</v>
      </c>
      <c r="U75" s="52">
        <v>215.99</v>
      </c>
      <c r="V75" s="52">
        <v>1126.4</v>
      </c>
      <c r="W75" s="52">
        <v>1563.97</v>
      </c>
      <c r="X75" s="52"/>
      <c r="Y75" s="52"/>
      <c r="Z75" s="52"/>
      <c r="AA75" s="52"/>
      <c r="AB75" s="52"/>
      <c r="AC75" s="52"/>
      <c r="AD75" s="34">
        <f>SUM(R75:AC75)</f>
        <v>5509.17</v>
      </c>
      <c r="AE75" s="52">
        <f>Q75-AD75</f>
        <v>4890.83</v>
      </c>
      <c r="AF75" s="132">
        <f t="shared" si="30"/>
        <v>52.972788461538464</v>
      </c>
    </row>
    <row r="76" spans="2:32" s="42" customFormat="1" ht="15.75" customHeight="1">
      <c r="B76" s="129"/>
      <c r="C76" s="43"/>
      <c r="D76" s="30">
        <v>4260</v>
      </c>
      <c r="E76" s="32" t="s">
        <v>496</v>
      </c>
      <c r="F76" s="52">
        <v>19790</v>
      </c>
      <c r="G76" s="51">
        <v>20000</v>
      </c>
      <c r="H76" s="52">
        <v>20000</v>
      </c>
      <c r="I76" s="52">
        <v>20000</v>
      </c>
      <c r="J76" s="559" t="s">
        <v>220</v>
      </c>
      <c r="K76" s="53"/>
      <c r="L76" s="53"/>
      <c r="M76" s="53"/>
      <c r="N76" s="53"/>
      <c r="O76" s="53"/>
      <c r="P76" s="53"/>
      <c r="Q76" s="131">
        <f t="shared" si="23"/>
        <v>20000</v>
      </c>
      <c r="R76" s="52">
        <v>985.35</v>
      </c>
      <c r="S76" s="52">
        <v>8109.57</v>
      </c>
      <c r="T76" s="52">
        <v>636.82</v>
      </c>
      <c r="U76" s="52">
        <v>4299.78</v>
      </c>
      <c r="V76" s="52">
        <v>929.32</v>
      </c>
      <c r="W76" s="52">
        <v>1914.77</v>
      </c>
      <c r="X76" s="52"/>
      <c r="Y76" s="52"/>
      <c r="Z76" s="52"/>
      <c r="AA76" s="52"/>
      <c r="AB76" s="52"/>
      <c r="AC76" s="52"/>
      <c r="AD76" s="34">
        <f>SUM(R76:AC76)</f>
        <v>16875.61</v>
      </c>
      <c r="AE76" s="52">
        <f>Q76-AD76</f>
        <v>3124.3899999999994</v>
      </c>
      <c r="AF76" s="132">
        <f t="shared" si="30"/>
        <v>84.37805</v>
      </c>
    </row>
    <row r="77" spans="2:32" s="42" customFormat="1" ht="15" customHeight="1">
      <c r="B77" s="129"/>
      <c r="C77" s="43"/>
      <c r="D77" s="30">
        <v>4270</v>
      </c>
      <c r="E77" s="32" t="s">
        <v>499</v>
      </c>
      <c r="F77" s="52">
        <v>24209</v>
      </c>
      <c r="G77" s="51">
        <v>1000</v>
      </c>
      <c r="H77" s="52">
        <v>1000</v>
      </c>
      <c r="I77" s="52">
        <v>1000</v>
      </c>
      <c r="J77" s="560"/>
      <c r="K77" s="53"/>
      <c r="L77" s="53">
        <v>5779</v>
      </c>
      <c r="M77" s="53"/>
      <c r="N77" s="53"/>
      <c r="O77" s="53"/>
      <c r="P77" s="53"/>
      <c r="Q77" s="131">
        <f t="shared" si="23"/>
        <v>6779</v>
      </c>
      <c r="R77" s="52"/>
      <c r="S77" s="52"/>
      <c r="T77" s="52">
        <v>3323.28</v>
      </c>
      <c r="U77" s="52"/>
      <c r="V77" s="52"/>
      <c r="W77" s="52"/>
      <c r="X77" s="52"/>
      <c r="Y77" s="52"/>
      <c r="Z77" s="52"/>
      <c r="AA77" s="52"/>
      <c r="AB77" s="52"/>
      <c r="AC77" s="52"/>
      <c r="AD77" s="34">
        <f>SUM(R77:AC77)</f>
        <v>3323.28</v>
      </c>
      <c r="AE77" s="52">
        <f>Q77-AD77</f>
        <v>3455.72</v>
      </c>
      <c r="AF77" s="132">
        <f t="shared" si="30"/>
        <v>49.02315975807641</v>
      </c>
    </row>
    <row r="78" spans="2:32" s="42" customFormat="1" ht="18.75" customHeight="1">
      <c r="B78" s="129"/>
      <c r="C78" s="30"/>
      <c r="D78" s="30">
        <v>4300</v>
      </c>
      <c r="E78" s="32" t="s">
        <v>471</v>
      </c>
      <c r="F78" s="52">
        <v>11000</v>
      </c>
      <c r="G78" s="51">
        <v>7000</v>
      </c>
      <c r="H78" s="52">
        <v>5000</v>
      </c>
      <c r="I78" s="52">
        <v>15000</v>
      </c>
      <c r="J78" s="561"/>
      <c r="K78" s="53"/>
      <c r="L78" s="53"/>
      <c r="M78" s="53"/>
      <c r="N78" s="53"/>
      <c r="O78" s="53"/>
      <c r="P78" s="53"/>
      <c r="Q78" s="131">
        <f t="shared" si="23"/>
        <v>15000</v>
      </c>
      <c r="R78" s="52">
        <v>928.64</v>
      </c>
      <c r="S78" s="52"/>
      <c r="T78" s="52">
        <v>200</v>
      </c>
      <c r="U78" s="52">
        <v>387.5</v>
      </c>
      <c r="V78" s="52">
        <v>333.52</v>
      </c>
      <c r="W78" s="52">
        <v>200</v>
      </c>
      <c r="X78" s="52"/>
      <c r="Y78" s="52"/>
      <c r="Z78" s="52"/>
      <c r="AA78" s="52"/>
      <c r="AB78" s="52"/>
      <c r="AC78" s="52"/>
      <c r="AD78" s="34">
        <f>SUM(R78:AC78)</f>
        <v>2049.66</v>
      </c>
      <c r="AE78" s="52">
        <f>Q78-AD78</f>
        <v>12950.34</v>
      </c>
      <c r="AF78" s="132">
        <f t="shared" si="30"/>
        <v>13.6644</v>
      </c>
    </row>
    <row r="79" spans="2:32" s="42" customFormat="1" ht="54.75" customHeight="1">
      <c r="B79" s="140">
        <v>751</v>
      </c>
      <c r="C79" s="141"/>
      <c r="D79" s="141"/>
      <c r="E79" s="142" t="s">
        <v>500</v>
      </c>
      <c r="F79" s="139">
        <f>F80</f>
        <v>1053</v>
      </c>
      <c r="G79" s="137">
        <f>G80</f>
        <v>1120</v>
      </c>
      <c r="H79" s="139">
        <f>H80</f>
        <v>1120</v>
      </c>
      <c r="I79" s="139">
        <f>I80</f>
        <v>1090</v>
      </c>
      <c r="J79" s="292"/>
      <c r="K79" s="138">
        <f aca="true" t="shared" si="32" ref="K79:AE79">K80</f>
        <v>0</v>
      </c>
      <c r="L79" s="138">
        <f t="shared" si="32"/>
        <v>0</v>
      </c>
      <c r="M79" s="138">
        <f t="shared" si="32"/>
        <v>0</v>
      </c>
      <c r="N79" s="138">
        <f t="shared" si="32"/>
        <v>0</v>
      </c>
      <c r="O79" s="138">
        <f t="shared" si="32"/>
        <v>0</v>
      </c>
      <c r="P79" s="138">
        <f t="shared" si="32"/>
        <v>0</v>
      </c>
      <c r="Q79" s="139">
        <f t="shared" si="32"/>
        <v>1090</v>
      </c>
      <c r="R79" s="139">
        <f t="shared" si="32"/>
        <v>0</v>
      </c>
      <c r="S79" s="139">
        <f t="shared" si="32"/>
        <v>0</v>
      </c>
      <c r="T79" s="139">
        <f t="shared" si="32"/>
        <v>0</v>
      </c>
      <c r="U79" s="139">
        <f t="shared" si="32"/>
        <v>0</v>
      </c>
      <c r="V79" s="139">
        <f t="shared" si="32"/>
        <v>0</v>
      </c>
      <c r="W79" s="139">
        <f t="shared" si="32"/>
        <v>0</v>
      </c>
      <c r="X79" s="139">
        <f t="shared" si="32"/>
        <v>0</v>
      </c>
      <c r="Y79" s="139">
        <f t="shared" si="32"/>
        <v>0</v>
      </c>
      <c r="Z79" s="139">
        <f t="shared" si="32"/>
        <v>0</v>
      </c>
      <c r="AA79" s="139">
        <f t="shared" si="32"/>
        <v>0</v>
      </c>
      <c r="AB79" s="139">
        <f t="shared" si="32"/>
        <v>0</v>
      </c>
      <c r="AC79" s="139">
        <f t="shared" si="32"/>
        <v>0</v>
      </c>
      <c r="AD79" s="139">
        <f t="shared" si="32"/>
        <v>0</v>
      </c>
      <c r="AE79" s="139">
        <f t="shared" si="32"/>
        <v>1090</v>
      </c>
      <c r="AF79" s="128">
        <f t="shared" si="30"/>
        <v>0</v>
      </c>
    </row>
    <row r="80" spans="2:32" s="150" customFormat="1" ht="42" customHeight="1">
      <c r="B80" s="129"/>
      <c r="C80" s="63">
        <v>75101</v>
      </c>
      <c r="D80" s="63"/>
      <c r="E80" s="151" t="s">
        <v>501</v>
      </c>
      <c r="F80" s="48">
        <f>SUM(F81:F81)</f>
        <v>1053</v>
      </c>
      <c r="G80" s="46">
        <f>SUM(G81:G81)</f>
        <v>1120</v>
      </c>
      <c r="H80" s="48">
        <f>SUM(H81:H81)</f>
        <v>1120</v>
      </c>
      <c r="I80" s="48">
        <f>SUM(I81:I81)</f>
        <v>1090</v>
      </c>
      <c r="J80" s="298"/>
      <c r="K80" s="49">
        <f aca="true" t="shared" si="33" ref="K80:AC80">SUM(K81:K81)</f>
        <v>0</v>
      </c>
      <c r="L80" s="49">
        <f t="shared" si="33"/>
        <v>0</v>
      </c>
      <c r="M80" s="49">
        <f t="shared" si="33"/>
        <v>0</v>
      </c>
      <c r="N80" s="49">
        <f t="shared" si="33"/>
        <v>0</v>
      </c>
      <c r="O80" s="49">
        <f t="shared" si="33"/>
        <v>0</v>
      </c>
      <c r="P80" s="49">
        <f t="shared" si="33"/>
        <v>0</v>
      </c>
      <c r="Q80" s="40">
        <f t="shared" si="33"/>
        <v>1090</v>
      </c>
      <c r="R80" s="48">
        <f t="shared" si="33"/>
        <v>0</v>
      </c>
      <c r="S80" s="48">
        <f t="shared" si="33"/>
        <v>0</v>
      </c>
      <c r="T80" s="48">
        <f t="shared" si="33"/>
        <v>0</v>
      </c>
      <c r="U80" s="48">
        <f t="shared" si="33"/>
        <v>0</v>
      </c>
      <c r="V80" s="48">
        <f t="shared" si="33"/>
        <v>0</v>
      </c>
      <c r="W80" s="48">
        <f t="shared" si="33"/>
        <v>0</v>
      </c>
      <c r="X80" s="48">
        <f t="shared" si="33"/>
        <v>0</v>
      </c>
      <c r="Y80" s="48">
        <f t="shared" si="33"/>
        <v>0</v>
      </c>
      <c r="Z80" s="48">
        <f t="shared" si="33"/>
        <v>0</v>
      </c>
      <c r="AA80" s="48">
        <f t="shared" si="33"/>
        <v>0</v>
      </c>
      <c r="AB80" s="48">
        <f t="shared" si="33"/>
        <v>0</v>
      </c>
      <c r="AC80" s="48">
        <f t="shared" si="33"/>
        <v>0</v>
      </c>
      <c r="AD80" s="48">
        <f>SUM(AD81:AD81)</f>
        <v>0</v>
      </c>
      <c r="AE80" s="48">
        <f>SUM(AE81:AE81)</f>
        <v>1090</v>
      </c>
      <c r="AF80" s="152">
        <f t="shared" si="30"/>
        <v>0</v>
      </c>
    </row>
    <row r="81" spans="2:32" s="42" customFormat="1" ht="21.75" customHeight="1">
      <c r="B81" s="129"/>
      <c r="C81" s="30"/>
      <c r="D81" s="30">
        <v>4300</v>
      </c>
      <c r="E81" s="32" t="s">
        <v>471</v>
      </c>
      <c r="F81" s="52">
        <v>1053</v>
      </c>
      <c r="G81" s="51">
        <v>1120</v>
      </c>
      <c r="H81" s="52">
        <v>1120</v>
      </c>
      <c r="I81" s="52">
        <v>1090</v>
      </c>
      <c r="J81" s="286" t="s">
        <v>629</v>
      </c>
      <c r="K81" s="53"/>
      <c r="L81" s="53"/>
      <c r="M81" s="53"/>
      <c r="N81" s="53"/>
      <c r="O81" s="53"/>
      <c r="P81" s="53"/>
      <c r="Q81" s="131">
        <f>I81+K81+L81+M81+N81+O81+P81</f>
        <v>1090</v>
      </c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34">
        <f>SUM(R81:AC81)</f>
        <v>0</v>
      </c>
      <c r="AE81" s="52">
        <f>Q81-AD81</f>
        <v>1090</v>
      </c>
      <c r="AF81" s="132">
        <f t="shared" si="30"/>
        <v>0</v>
      </c>
    </row>
    <row r="82" spans="2:32" s="42" customFormat="1" ht="25.5">
      <c r="B82" s="140">
        <v>754</v>
      </c>
      <c r="C82" s="141"/>
      <c r="D82" s="141"/>
      <c r="E82" s="142" t="s">
        <v>371</v>
      </c>
      <c r="F82" s="139">
        <f>F83+F85+F96</f>
        <v>128500</v>
      </c>
      <c r="G82" s="137">
        <f>G83+G85+G96</f>
        <v>100500</v>
      </c>
      <c r="H82" s="139">
        <f>H83+H85+H96</f>
        <v>89180</v>
      </c>
      <c r="I82" s="139">
        <f>I83+I85+I96</f>
        <v>89180</v>
      </c>
      <c r="J82" s="292"/>
      <c r="K82" s="138">
        <f aca="true" t="shared" si="34" ref="K82:Z82">K83+K85+K96</f>
        <v>0</v>
      </c>
      <c r="L82" s="138">
        <f t="shared" si="34"/>
        <v>0</v>
      </c>
      <c r="M82" s="138">
        <f t="shared" si="34"/>
        <v>0</v>
      </c>
      <c r="N82" s="138">
        <f t="shared" si="34"/>
        <v>0</v>
      </c>
      <c r="O82" s="138">
        <f t="shared" si="34"/>
        <v>0</v>
      </c>
      <c r="P82" s="138">
        <f t="shared" si="34"/>
        <v>0</v>
      </c>
      <c r="Q82" s="139">
        <f t="shared" si="34"/>
        <v>89180</v>
      </c>
      <c r="R82" s="139">
        <f t="shared" si="34"/>
        <v>5016.49</v>
      </c>
      <c r="S82" s="139">
        <f t="shared" si="34"/>
        <v>4112.32</v>
      </c>
      <c r="T82" s="139">
        <f t="shared" si="34"/>
        <v>1235.4099999999999</v>
      </c>
      <c r="U82" s="139">
        <f>U83+U85+U96</f>
        <v>10148.2</v>
      </c>
      <c r="V82" s="139">
        <f t="shared" si="34"/>
        <v>5462.879999999999</v>
      </c>
      <c r="W82" s="139">
        <f t="shared" si="34"/>
        <v>11620.609999999999</v>
      </c>
      <c r="X82" s="139">
        <f t="shared" si="34"/>
        <v>0</v>
      </c>
      <c r="Y82" s="139">
        <f t="shared" si="34"/>
        <v>0</v>
      </c>
      <c r="Z82" s="139">
        <f t="shared" si="34"/>
        <v>0</v>
      </c>
      <c r="AA82" s="139">
        <f>AA83+AA85+AA96</f>
        <v>0</v>
      </c>
      <c r="AB82" s="139">
        <f>AB83+AB85+AB96</f>
        <v>0</v>
      </c>
      <c r="AC82" s="139">
        <f>AC83+AC85+AC96</f>
        <v>0</v>
      </c>
      <c r="AD82" s="139">
        <f>AD83+AD85+AD96</f>
        <v>37595.909999999996</v>
      </c>
      <c r="AE82" s="139">
        <f>AE83+AE85+AE96</f>
        <v>51584.090000000004</v>
      </c>
      <c r="AF82" s="128">
        <f t="shared" si="30"/>
        <v>42.15733348284368</v>
      </c>
    </row>
    <row r="83" spans="2:32" s="42" customFormat="1" ht="12.75">
      <c r="B83" s="129"/>
      <c r="C83" s="43">
        <v>75403</v>
      </c>
      <c r="D83" s="43"/>
      <c r="E83" s="45" t="s">
        <v>523</v>
      </c>
      <c r="F83" s="48">
        <f aca="true" t="shared" si="35" ref="F83:AE83">SUM(F84:F84)</f>
        <v>2000</v>
      </c>
      <c r="G83" s="46">
        <f t="shared" si="35"/>
        <v>2000</v>
      </c>
      <c r="H83" s="48">
        <f t="shared" si="35"/>
        <v>2000</v>
      </c>
      <c r="I83" s="48">
        <f t="shared" si="35"/>
        <v>2000</v>
      </c>
      <c r="J83" s="289"/>
      <c r="K83" s="49">
        <f t="shared" si="35"/>
        <v>0</v>
      </c>
      <c r="L83" s="49">
        <f t="shared" si="35"/>
        <v>0</v>
      </c>
      <c r="M83" s="49">
        <f t="shared" si="35"/>
        <v>0</v>
      </c>
      <c r="N83" s="49">
        <f t="shared" si="35"/>
        <v>0</v>
      </c>
      <c r="O83" s="49">
        <f t="shared" si="35"/>
        <v>0</v>
      </c>
      <c r="P83" s="49">
        <f t="shared" si="35"/>
        <v>0</v>
      </c>
      <c r="Q83" s="40">
        <f t="shared" si="35"/>
        <v>2000</v>
      </c>
      <c r="R83" s="48">
        <f t="shared" si="35"/>
        <v>0</v>
      </c>
      <c r="S83" s="48">
        <f t="shared" si="35"/>
        <v>0</v>
      </c>
      <c r="T83" s="48">
        <f t="shared" si="35"/>
        <v>0</v>
      </c>
      <c r="U83" s="48">
        <f t="shared" si="35"/>
        <v>379.87</v>
      </c>
      <c r="V83" s="48">
        <f t="shared" si="35"/>
        <v>276.25</v>
      </c>
      <c r="W83" s="48">
        <f t="shared" si="35"/>
        <v>601.89</v>
      </c>
      <c r="X83" s="48">
        <f t="shared" si="35"/>
        <v>0</v>
      </c>
      <c r="Y83" s="48">
        <f t="shared" si="35"/>
        <v>0</v>
      </c>
      <c r="Z83" s="48">
        <f t="shared" si="35"/>
        <v>0</v>
      </c>
      <c r="AA83" s="48">
        <f t="shared" si="35"/>
        <v>0</v>
      </c>
      <c r="AB83" s="48">
        <f t="shared" si="35"/>
        <v>0</v>
      </c>
      <c r="AC83" s="48">
        <f t="shared" si="35"/>
        <v>0</v>
      </c>
      <c r="AD83" s="48">
        <f t="shared" si="35"/>
        <v>1258.01</v>
      </c>
      <c r="AE83" s="48">
        <f t="shared" si="35"/>
        <v>741.99</v>
      </c>
      <c r="AF83" s="130">
        <f t="shared" si="30"/>
        <v>62.9005</v>
      </c>
    </row>
    <row r="84" spans="2:32" s="42" customFormat="1" ht="25.5">
      <c r="B84" s="129"/>
      <c r="C84" s="30"/>
      <c r="D84" s="30">
        <v>4210</v>
      </c>
      <c r="E84" s="32" t="s">
        <v>469</v>
      </c>
      <c r="F84" s="52">
        <v>2000</v>
      </c>
      <c r="G84" s="51">
        <v>2000</v>
      </c>
      <c r="H84" s="52">
        <v>2000</v>
      </c>
      <c r="I84" s="52">
        <v>2000</v>
      </c>
      <c r="J84" s="289" t="s">
        <v>637</v>
      </c>
      <c r="K84" s="53"/>
      <c r="L84" s="53"/>
      <c r="M84" s="53"/>
      <c r="N84" s="53"/>
      <c r="O84" s="53"/>
      <c r="P84" s="53"/>
      <c r="Q84" s="131">
        <f aca="true" t="shared" si="36" ref="Q84:Q95">I84+K84+L84+M84+N84+O84+P84</f>
        <v>2000</v>
      </c>
      <c r="R84" s="52"/>
      <c r="S84" s="52"/>
      <c r="T84" s="52"/>
      <c r="U84" s="52">
        <v>379.87</v>
      </c>
      <c r="V84" s="52">
        <v>276.25</v>
      </c>
      <c r="W84" s="52">
        <v>601.89</v>
      </c>
      <c r="X84" s="52"/>
      <c r="Y84" s="52"/>
      <c r="Z84" s="52"/>
      <c r="AA84" s="52"/>
      <c r="AB84" s="52"/>
      <c r="AC84" s="52"/>
      <c r="AD84" s="34">
        <f>SUM(R84:AC84)</f>
        <v>1258.01</v>
      </c>
      <c r="AE84" s="52">
        <f>Q84-AD84</f>
        <v>741.99</v>
      </c>
      <c r="AF84" s="132">
        <f t="shared" si="30"/>
        <v>62.9005</v>
      </c>
    </row>
    <row r="85" spans="2:32" s="42" customFormat="1" ht="12.75">
      <c r="B85" s="129"/>
      <c r="C85" s="43">
        <v>75412</v>
      </c>
      <c r="D85" s="43"/>
      <c r="E85" s="45" t="s">
        <v>524</v>
      </c>
      <c r="F85" s="48">
        <f>SUM(F86:F94)</f>
        <v>124000</v>
      </c>
      <c r="G85" s="46">
        <f>SUM(G86:G94)</f>
        <v>96000</v>
      </c>
      <c r="H85" s="48">
        <f>SUM(H86:H94)</f>
        <v>85680</v>
      </c>
      <c r="I85" s="48">
        <f>SUM(I86:I94)</f>
        <v>85680</v>
      </c>
      <c r="J85" s="289"/>
      <c r="K85" s="49">
        <f aca="true" t="shared" si="37" ref="K85:P85">SUM(K86:K94)</f>
        <v>0</v>
      </c>
      <c r="L85" s="49">
        <f t="shared" si="37"/>
        <v>0</v>
      </c>
      <c r="M85" s="49">
        <f t="shared" si="37"/>
        <v>0</v>
      </c>
      <c r="N85" s="49">
        <f t="shared" si="37"/>
        <v>0</v>
      </c>
      <c r="O85" s="49">
        <f t="shared" si="37"/>
        <v>0</v>
      </c>
      <c r="P85" s="49">
        <f t="shared" si="37"/>
        <v>0</v>
      </c>
      <c r="Q85" s="40">
        <f>SUM(Q86:Q95)</f>
        <v>85680</v>
      </c>
      <c r="R85" s="48">
        <f>SUM(R86:R94)</f>
        <v>5016.49</v>
      </c>
      <c r="S85" s="48">
        <f aca="true" t="shared" si="38" ref="S85:Z85">SUM(S86:S94)</f>
        <v>4112.32</v>
      </c>
      <c r="T85" s="48">
        <f t="shared" si="38"/>
        <v>1235.4099999999999</v>
      </c>
      <c r="U85" s="48">
        <f t="shared" si="38"/>
        <v>9768.33</v>
      </c>
      <c r="V85" s="48">
        <f t="shared" si="38"/>
        <v>5036.629999999999</v>
      </c>
      <c r="W85" s="48">
        <f t="shared" si="38"/>
        <v>11018.72</v>
      </c>
      <c r="X85" s="48">
        <f t="shared" si="38"/>
        <v>0</v>
      </c>
      <c r="Y85" s="48">
        <f t="shared" si="38"/>
        <v>0</v>
      </c>
      <c r="Z85" s="48">
        <f t="shared" si="38"/>
        <v>0</v>
      </c>
      <c r="AA85" s="48">
        <f>SUM(AA86:AA94)</f>
        <v>0</v>
      </c>
      <c r="AB85" s="48">
        <f>SUM(AB86:AB94)</f>
        <v>0</v>
      </c>
      <c r="AC85" s="48">
        <f>SUM(AC86:AC94)</f>
        <v>0</v>
      </c>
      <c r="AD85" s="48">
        <f>SUM(AD86:AD95)</f>
        <v>36187.899999999994</v>
      </c>
      <c r="AE85" s="48">
        <f>SUM(AE86:AE95)</f>
        <v>49492.100000000006</v>
      </c>
      <c r="AF85" s="130">
        <f t="shared" si="30"/>
        <v>42.23611111111111</v>
      </c>
    </row>
    <row r="86" spans="2:32" s="42" customFormat="1" ht="63.75" customHeight="1">
      <c r="B86" s="129"/>
      <c r="C86" s="43"/>
      <c r="D86" s="153">
        <v>6230</v>
      </c>
      <c r="E86" s="154" t="s">
        <v>525</v>
      </c>
      <c r="F86" s="52">
        <v>15000</v>
      </c>
      <c r="G86" s="51">
        <v>5000</v>
      </c>
      <c r="H86" s="52">
        <v>3000</v>
      </c>
      <c r="I86" s="52">
        <v>3000</v>
      </c>
      <c r="J86" s="289" t="s">
        <v>638</v>
      </c>
      <c r="K86" s="53"/>
      <c r="L86" s="53"/>
      <c r="M86" s="53"/>
      <c r="N86" s="53"/>
      <c r="O86" s="53"/>
      <c r="P86" s="53"/>
      <c r="Q86" s="131">
        <f t="shared" si="36"/>
        <v>3000</v>
      </c>
      <c r="R86" s="52"/>
      <c r="S86" s="52"/>
      <c r="T86" s="52"/>
      <c r="U86" s="52">
        <v>783.59</v>
      </c>
      <c r="V86" s="52"/>
      <c r="W86" s="52"/>
      <c r="X86" s="52"/>
      <c r="Y86" s="52"/>
      <c r="Z86" s="52"/>
      <c r="AA86" s="52"/>
      <c r="AB86" s="52"/>
      <c r="AC86" s="52"/>
      <c r="AD86" s="34">
        <f aca="true" t="shared" si="39" ref="AD86:AD95">SUM(R86:AC86)</f>
        <v>783.59</v>
      </c>
      <c r="AE86" s="52">
        <f aca="true" t="shared" si="40" ref="AE86:AE95">Q86-AD86</f>
        <v>2216.41</v>
      </c>
      <c r="AF86" s="132">
        <f t="shared" si="30"/>
        <v>26.119666666666667</v>
      </c>
    </row>
    <row r="87" spans="2:32" s="42" customFormat="1" ht="28.5" customHeight="1">
      <c r="B87" s="129"/>
      <c r="C87" s="30"/>
      <c r="D87" s="30">
        <v>3030</v>
      </c>
      <c r="E87" s="32" t="s">
        <v>490</v>
      </c>
      <c r="F87" s="52">
        <v>15000</v>
      </c>
      <c r="G87" s="51">
        <f>15000-G88</f>
        <v>12120</v>
      </c>
      <c r="H87" s="52">
        <v>10000</v>
      </c>
      <c r="I87" s="52">
        <v>10000</v>
      </c>
      <c r="J87" s="286" t="s">
        <v>221</v>
      </c>
      <c r="K87" s="53"/>
      <c r="L87" s="53"/>
      <c r="M87" s="53"/>
      <c r="N87" s="53"/>
      <c r="O87" s="53"/>
      <c r="P87" s="53"/>
      <c r="Q87" s="131">
        <f t="shared" si="36"/>
        <v>10000</v>
      </c>
      <c r="R87" s="52"/>
      <c r="S87" s="52"/>
      <c r="T87" s="52"/>
      <c r="U87" s="52">
        <v>3012.75</v>
      </c>
      <c r="V87" s="52">
        <v>270</v>
      </c>
      <c r="W87" s="52"/>
      <c r="X87" s="52"/>
      <c r="Y87" s="52"/>
      <c r="Z87" s="52"/>
      <c r="AA87" s="52"/>
      <c r="AB87" s="52"/>
      <c r="AC87" s="52"/>
      <c r="AD87" s="34">
        <f t="shared" si="39"/>
        <v>3282.75</v>
      </c>
      <c r="AE87" s="52">
        <f t="shared" si="40"/>
        <v>6717.25</v>
      </c>
      <c r="AF87" s="132">
        <f t="shared" si="30"/>
        <v>32.8275</v>
      </c>
    </row>
    <row r="88" spans="2:32" s="42" customFormat="1" ht="19.5" customHeight="1">
      <c r="B88" s="129"/>
      <c r="C88" s="30"/>
      <c r="D88" s="30">
        <v>4170</v>
      </c>
      <c r="E88" s="32" t="s">
        <v>543</v>
      </c>
      <c r="F88" s="52">
        <v>0</v>
      </c>
      <c r="G88" s="51">
        <v>2880</v>
      </c>
      <c r="H88" s="52">
        <v>2880</v>
      </c>
      <c r="I88" s="52">
        <v>2880</v>
      </c>
      <c r="J88" s="286" t="s">
        <v>222</v>
      </c>
      <c r="K88" s="53"/>
      <c r="L88" s="53"/>
      <c r="M88" s="53"/>
      <c r="N88" s="53"/>
      <c r="O88" s="53"/>
      <c r="P88" s="53"/>
      <c r="Q88" s="131">
        <f t="shared" si="36"/>
        <v>2880</v>
      </c>
      <c r="R88" s="52">
        <v>239.4</v>
      </c>
      <c r="S88" s="52">
        <v>249</v>
      </c>
      <c r="T88" s="52">
        <v>240</v>
      </c>
      <c r="U88" s="52">
        <v>240</v>
      </c>
      <c r="V88" s="52">
        <v>240</v>
      </c>
      <c r="W88" s="52">
        <v>240</v>
      </c>
      <c r="X88" s="52"/>
      <c r="Y88" s="52"/>
      <c r="Z88" s="52"/>
      <c r="AA88" s="52"/>
      <c r="AB88" s="52"/>
      <c r="AC88" s="52"/>
      <c r="AD88" s="34">
        <f t="shared" si="39"/>
        <v>1448.4</v>
      </c>
      <c r="AE88" s="52">
        <f t="shared" si="40"/>
        <v>1431.6</v>
      </c>
      <c r="AF88" s="132">
        <f t="shared" si="30"/>
        <v>50.291666666666664</v>
      </c>
    </row>
    <row r="89" spans="2:32" s="42" customFormat="1" ht="26.25" customHeight="1">
      <c r="B89" s="129"/>
      <c r="C89" s="30"/>
      <c r="D89" s="30">
        <v>4210</v>
      </c>
      <c r="E89" s="32" t="s">
        <v>469</v>
      </c>
      <c r="F89" s="52">
        <v>35000</v>
      </c>
      <c r="G89" s="51">
        <v>28000</v>
      </c>
      <c r="H89" s="52">
        <v>28000</v>
      </c>
      <c r="I89" s="52">
        <v>28000</v>
      </c>
      <c r="J89" s="286" t="s">
        <v>639</v>
      </c>
      <c r="K89" s="53"/>
      <c r="L89" s="53"/>
      <c r="M89" s="53"/>
      <c r="N89" s="53"/>
      <c r="O89" s="53"/>
      <c r="P89" s="53"/>
      <c r="Q89" s="131">
        <f t="shared" si="36"/>
        <v>28000</v>
      </c>
      <c r="R89" s="52">
        <v>1356.71</v>
      </c>
      <c r="S89" s="52">
        <v>1057.66</v>
      </c>
      <c r="T89" s="52">
        <v>597.9</v>
      </c>
      <c r="U89" s="52">
        <v>1990.34</v>
      </c>
      <c r="V89" s="52">
        <v>4314.15</v>
      </c>
      <c r="W89" s="52">
        <v>6909.19</v>
      </c>
      <c r="X89" s="52"/>
      <c r="Y89" s="52"/>
      <c r="Z89" s="52"/>
      <c r="AA89" s="52"/>
      <c r="AB89" s="52"/>
      <c r="AC89" s="52"/>
      <c r="AD89" s="34">
        <f t="shared" si="39"/>
        <v>16225.949999999997</v>
      </c>
      <c r="AE89" s="52">
        <f t="shared" si="40"/>
        <v>11774.050000000003</v>
      </c>
      <c r="AF89" s="132">
        <f t="shared" si="30"/>
        <v>57.94982142857142</v>
      </c>
    </row>
    <row r="90" spans="2:32" s="42" customFormat="1" ht="13.5" customHeight="1">
      <c r="B90" s="129"/>
      <c r="C90" s="30"/>
      <c r="D90" s="30">
        <v>4260</v>
      </c>
      <c r="E90" s="32" t="s">
        <v>496</v>
      </c>
      <c r="F90" s="52">
        <v>9200</v>
      </c>
      <c r="G90" s="51">
        <v>10000</v>
      </c>
      <c r="H90" s="52">
        <v>8000</v>
      </c>
      <c r="I90" s="52">
        <v>8000</v>
      </c>
      <c r="J90" s="286" t="s">
        <v>223</v>
      </c>
      <c r="K90" s="53"/>
      <c r="L90" s="53"/>
      <c r="M90" s="53"/>
      <c r="N90" s="53"/>
      <c r="O90" s="53"/>
      <c r="P90" s="53"/>
      <c r="Q90" s="131">
        <f t="shared" si="36"/>
        <v>8000</v>
      </c>
      <c r="R90" s="52">
        <v>699.78</v>
      </c>
      <c r="S90" s="52">
        <v>2755.66</v>
      </c>
      <c r="T90" s="52"/>
      <c r="U90" s="52">
        <v>1299.65</v>
      </c>
      <c r="V90" s="52">
        <v>62.48</v>
      </c>
      <c r="W90" s="52">
        <v>206.98</v>
      </c>
      <c r="X90" s="52"/>
      <c r="Y90" s="52"/>
      <c r="Z90" s="52"/>
      <c r="AA90" s="52"/>
      <c r="AB90" s="52"/>
      <c r="AC90" s="52"/>
      <c r="AD90" s="34">
        <f t="shared" si="39"/>
        <v>5024.549999999999</v>
      </c>
      <c r="AE90" s="52">
        <f t="shared" si="40"/>
        <v>2975.4500000000007</v>
      </c>
      <c r="AF90" s="132">
        <f t="shared" si="30"/>
        <v>62.80687499999999</v>
      </c>
    </row>
    <row r="91" spans="2:32" s="42" customFormat="1" ht="17.25" customHeight="1">
      <c r="B91" s="129"/>
      <c r="C91" s="30"/>
      <c r="D91" s="30">
        <v>4270</v>
      </c>
      <c r="E91" s="32" t="s">
        <v>499</v>
      </c>
      <c r="F91" s="52">
        <v>20000</v>
      </c>
      <c r="G91" s="51">
        <v>4000</v>
      </c>
      <c r="H91" s="52">
        <v>4000</v>
      </c>
      <c r="I91" s="52">
        <v>4000</v>
      </c>
      <c r="J91" s="286" t="s">
        <v>640</v>
      </c>
      <c r="K91" s="53"/>
      <c r="L91" s="53"/>
      <c r="M91" s="53"/>
      <c r="N91" s="53"/>
      <c r="O91" s="53"/>
      <c r="P91" s="53"/>
      <c r="Q91" s="131">
        <f t="shared" si="36"/>
        <v>4000</v>
      </c>
      <c r="R91" s="52">
        <v>527.6</v>
      </c>
      <c r="S91" s="52"/>
      <c r="T91" s="52"/>
      <c r="U91" s="52"/>
      <c r="V91" s="52"/>
      <c r="W91" s="52">
        <v>2351.55</v>
      </c>
      <c r="X91" s="52"/>
      <c r="Y91" s="52"/>
      <c r="Z91" s="52"/>
      <c r="AA91" s="52"/>
      <c r="AB91" s="52"/>
      <c r="AC91" s="52"/>
      <c r="AD91" s="34">
        <f t="shared" si="39"/>
        <v>2879.15</v>
      </c>
      <c r="AE91" s="52">
        <f t="shared" si="40"/>
        <v>1120.85</v>
      </c>
      <c r="AF91" s="132">
        <f t="shared" si="30"/>
        <v>71.97875</v>
      </c>
    </row>
    <row r="92" spans="2:32" s="42" customFormat="1" ht="18" customHeight="1">
      <c r="B92" s="129"/>
      <c r="C92" s="30"/>
      <c r="D92" s="30">
        <v>4300</v>
      </c>
      <c r="E92" s="32" t="s">
        <v>471</v>
      </c>
      <c r="F92" s="52">
        <v>10000</v>
      </c>
      <c r="G92" s="51">
        <v>10000</v>
      </c>
      <c r="H92" s="52">
        <v>9000</v>
      </c>
      <c r="I92" s="52">
        <v>9000</v>
      </c>
      <c r="J92" s="286" t="s">
        <v>641</v>
      </c>
      <c r="K92" s="53"/>
      <c r="L92" s="53"/>
      <c r="M92" s="53"/>
      <c r="N92" s="53"/>
      <c r="O92" s="53"/>
      <c r="P92" s="53"/>
      <c r="Q92" s="131">
        <f t="shared" si="36"/>
        <v>9000</v>
      </c>
      <c r="R92" s="52">
        <v>371</v>
      </c>
      <c r="S92" s="52">
        <v>50</v>
      </c>
      <c r="T92" s="52">
        <v>397.51</v>
      </c>
      <c r="U92" s="52">
        <v>280</v>
      </c>
      <c r="V92" s="52">
        <v>150</v>
      </c>
      <c r="W92" s="52">
        <v>200</v>
      </c>
      <c r="X92" s="52"/>
      <c r="Y92" s="52"/>
      <c r="Z92" s="52"/>
      <c r="AA92" s="52"/>
      <c r="AB92" s="52"/>
      <c r="AC92" s="52"/>
      <c r="AD92" s="34">
        <f t="shared" si="39"/>
        <v>1448.51</v>
      </c>
      <c r="AE92" s="52">
        <f t="shared" si="40"/>
        <v>7551.49</v>
      </c>
      <c r="AF92" s="132">
        <f t="shared" si="30"/>
        <v>16.094555555555555</v>
      </c>
    </row>
    <row r="93" spans="2:32" s="42" customFormat="1" ht="15" customHeight="1">
      <c r="B93" s="129"/>
      <c r="C93" s="30"/>
      <c r="D93" s="30">
        <v>4410</v>
      </c>
      <c r="E93" s="32" t="s">
        <v>491</v>
      </c>
      <c r="F93" s="52">
        <v>800</v>
      </c>
      <c r="G93" s="51">
        <v>800</v>
      </c>
      <c r="H93" s="52">
        <v>800</v>
      </c>
      <c r="I93" s="52">
        <v>800</v>
      </c>
      <c r="J93" s="286" t="s">
        <v>642</v>
      </c>
      <c r="K93" s="53"/>
      <c r="L93" s="53"/>
      <c r="M93" s="53"/>
      <c r="N93" s="53"/>
      <c r="O93" s="53"/>
      <c r="P93" s="53"/>
      <c r="Q93" s="131">
        <f t="shared" si="36"/>
        <v>800</v>
      </c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34">
        <f t="shared" si="39"/>
        <v>0</v>
      </c>
      <c r="AE93" s="52">
        <f t="shared" si="40"/>
        <v>800</v>
      </c>
      <c r="AF93" s="132">
        <f t="shared" si="30"/>
        <v>0</v>
      </c>
    </row>
    <row r="94" spans="2:32" s="42" customFormat="1" ht="15" customHeight="1">
      <c r="B94" s="129"/>
      <c r="C94" s="30"/>
      <c r="D94" s="30">
        <v>4430</v>
      </c>
      <c r="E94" s="32" t="s">
        <v>497</v>
      </c>
      <c r="F94" s="52">
        <v>19000</v>
      </c>
      <c r="G94" s="51">
        <v>23200</v>
      </c>
      <c r="H94" s="52">
        <v>20000</v>
      </c>
      <c r="I94" s="52">
        <v>20000</v>
      </c>
      <c r="J94" s="286" t="s">
        <v>643</v>
      </c>
      <c r="K94" s="53"/>
      <c r="L94" s="53"/>
      <c r="M94" s="53"/>
      <c r="N94" s="53"/>
      <c r="O94" s="53"/>
      <c r="P94" s="53"/>
      <c r="Q94" s="131">
        <f t="shared" si="36"/>
        <v>20000</v>
      </c>
      <c r="R94" s="52">
        <v>1822</v>
      </c>
      <c r="S94" s="52"/>
      <c r="T94" s="52"/>
      <c r="U94" s="52">
        <v>2162</v>
      </c>
      <c r="V94" s="52"/>
      <c r="W94" s="52">
        <v>1111</v>
      </c>
      <c r="X94" s="52"/>
      <c r="Y94" s="52"/>
      <c r="Z94" s="52"/>
      <c r="AA94" s="52"/>
      <c r="AB94" s="52"/>
      <c r="AC94" s="52"/>
      <c r="AD94" s="34">
        <f t="shared" si="39"/>
        <v>5095</v>
      </c>
      <c r="AE94" s="52">
        <f t="shared" si="40"/>
        <v>14905</v>
      </c>
      <c r="AF94" s="132">
        <f t="shared" si="30"/>
        <v>25.475</v>
      </c>
    </row>
    <row r="95" spans="2:32" s="42" customFormat="1" ht="25.5" customHeight="1" hidden="1">
      <c r="B95" s="129"/>
      <c r="C95" s="30"/>
      <c r="D95" s="30">
        <v>6050</v>
      </c>
      <c r="E95" s="32" t="s">
        <v>472</v>
      </c>
      <c r="F95" s="52"/>
      <c r="G95" s="51"/>
      <c r="H95" s="52"/>
      <c r="I95" s="52"/>
      <c r="J95" s="286"/>
      <c r="K95" s="53"/>
      <c r="L95" s="53"/>
      <c r="M95" s="53"/>
      <c r="N95" s="53"/>
      <c r="O95" s="53"/>
      <c r="P95" s="53"/>
      <c r="Q95" s="131">
        <f t="shared" si="36"/>
        <v>0</v>
      </c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34">
        <f t="shared" si="39"/>
        <v>0</v>
      </c>
      <c r="AE95" s="52">
        <f t="shared" si="40"/>
        <v>0</v>
      </c>
      <c r="AF95" s="132" t="e">
        <f t="shared" si="30"/>
        <v>#DIV/0!</v>
      </c>
    </row>
    <row r="96" spans="2:32" s="42" customFormat="1" ht="12.75">
      <c r="B96" s="129"/>
      <c r="C96" s="43">
        <v>75414</v>
      </c>
      <c r="D96" s="43"/>
      <c r="E96" s="45" t="s">
        <v>372</v>
      </c>
      <c r="F96" s="48">
        <f>SUM(F97:F100)</f>
        <v>2500</v>
      </c>
      <c r="G96" s="46">
        <f>SUM(G97:G100)</f>
        <v>2500</v>
      </c>
      <c r="H96" s="48">
        <f>SUM(H97:H100)</f>
        <v>1500</v>
      </c>
      <c r="I96" s="48">
        <f>SUM(I97:I100)</f>
        <v>1500</v>
      </c>
      <c r="J96" s="289"/>
      <c r="K96" s="49">
        <f aca="true" t="shared" si="41" ref="K96:Z96">SUM(K97:K100)</f>
        <v>0</v>
      </c>
      <c r="L96" s="49">
        <f t="shared" si="41"/>
        <v>0</v>
      </c>
      <c r="M96" s="49">
        <f t="shared" si="41"/>
        <v>0</v>
      </c>
      <c r="N96" s="49">
        <f t="shared" si="41"/>
        <v>0</v>
      </c>
      <c r="O96" s="49">
        <f t="shared" si="41"/>
        <v>0</v>
      </c>
      <c r="P96" s="49">
        <f t="shared" si="41"/>
        <v>0</v>
      </c>
      <c r="Q96" s="40">
        <f t="shared" si="41"/>
        <v>1500</v>
      </c>
      <c r="R96" s="48">
        <f t="shared" si="41"/>
        <v>0</v>
      </c>
      <c r="S96" s="48">
        <f t="shared" si="41"/>
        <v>0</v>
      </c>
      <c r="T96" s="48">
        <f t="shared" si="41"/>
        <v>0</v>
      </c>
      <c r="U96" s="48">
        <f t="shared" si="41"/>
        <v>0</v>
      </c>
      <c r="V96" s="48">
        <f t="shared" si="41"/>
        <v>150</v>
      </c>
      <c r="W96" s="48">
        <f t="shared" si="41"/>
        <v>0</v>
      </c>
      <c r="X96" s="48">
        <f t="shared" si="41"/>
        <v>0</v>
      </c>
      <c r="Y96" s="48">
        <f t="shared" si="41"/>
        <v>0</v>
      </c>
      <c r="Z96" s="48">
        <f t="shared" si="41"/>
        <v>0</v>
      </c>
      <c r="AA96" s="48">
        <f>SUM(AA97:AA100)</f>
        <v>0</v>
      </c>
      <c r="AB96" s="48">
        <f>SUM(AB97:AB100)</f>
        <v>0</v>
      </c>
      <c r="AC96" s="48">
        <f>SUM(AC97:AC100)</f>
        <v>0</v>
      </c>
      <c r="AD96" s="48">
        <f>SUM(AD97:AD100)</f>
        <v>150</v>
      </c>
      <c r="AE96" s="48">
        <f>SUM(AE97:AE100)</f>
        <v>1350</v>
      </c>
      <c r="AF96" s="130">
        <f t="shared" si="30"/>
        <v>10</v>
      </c>
    </row>
    <row r="97" spans="2:32" s="42" customFormat="1" ht="16.5" customHeight="1">
      <c r="B97" s="129"/>
      <c r="C97" s="30"/>
      <c r="D97" s="30">
        <v>4170</v>
      </c>
      <c r="E97" s="32" t="s">
        <v>543</v>
      </c>
      <c r="F97" s="52">
        <v>400</v>
      </c>
      <c r="G97" s="51">
        <v>400</v>
      </c>
      <c r="H97" s="52">
        <v>400</v>
      </c>
      <c r="I97" s="52">
        <v>400</v>
      </c>
      <c r="J97" s="556" t="s">
        <v>644</v>
      </c>
      <c r="K97" s="53"/>
      <c r="L97" s="53"/>
      <c r="M97" s="53"/>
      <c r="N97" s="53"/>
      <c r="O97" s="53"/>
      <c r="P97" s="53"/>
      <c r="Q97" s="131">
        <f>I97+K97+L97+M97+N97+O97+P97</f>
        <v>400</v>
      </c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34">
        <f>SUM(R97:AC97)</f>
        <v>0</v>
      </c>
      <c r="AE97" s="52">
        <f>Q97-AD97</f>
        <v>400</v>
      </c>
      <c r="AF97" s="132">
        <f t="shared" si="30"/>
        <v>0</v>
      </c>
    </row>
    <row r="98" spans="2:32" s="42" customFormat="1" ht="29.25" customHeight="1">
      <c r="B98" s="129"/>
      <c r="C98" s="30"/>
      <c r="D98" s="30">
        <v>4210</v>
      </c>
      <c r="E98" s="32" t="s">
        <v>469</v>
      </c>
      <c r="F98" s="52">
        <v>1000</v>
      </c>
      <c r="G98" s="51">
        <v>1000</v>
      </c>
      <c r="H98" s="52">
        <v>500</v>
      </c>
      <c r="I98" s="52">
        <v>500</v>
      </c>
      <c r="J98" s="558"/>
      <c r="K98" s="53"/>
      <c r="L98" s="53"/>
      <c r="M98" s="53"/>
      <c r="N98" s="53"/>
      <c r="O98" s="53"/>
      <c r="P98" s="53"/>
      <c r="Q98" s="131">
        <f>I98+K98+L98+M98+N98+O98+P98</f>
        <v>500</v>
      </c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34">
        <f>SUM(R98:AC98)</f>
        <v>0</v>
      </c>
      <c r="AE98" s="52">
        <f>Q98-AD98</f>
        <v>500</v>
      </c>
      <c r="AF98" s="132">
        <f t="shared" si="30"/>
        <v>0</v>
      </c>
    </row>
    <row r="99" spans="2:32" s="42" customFormat="1" ht="14.25" customHeight="1">
      <c r="B99" s="129"/>
      <c r="C99" s="30"/>
      <c r="D99" s="30">
        <v>4300</v>
      </c>
      <c r="E99" s="32" t="s">
        <v>471</v>
      </c>
      <c r="F99" s="52">
        <v>1000</v>
      </c>
      <c r="G99" s="51">
        <v>1000</v>
      </c>
      <c r="H99" s="52">
        <v>500</v>
      </c>
      <c r="I99" s="52">
        <v>500</v>
      </c>
      <c r="J99" s="558"/>
      <c r="K99" s="53"/>
      <c r="L99" s="53"/>
      <c r="M99" s="53"/>
      <c r="N99" s="53"/>
      <c r="O99" s="53"/>
      <c r="P99" s="53"/>
      <c r="Q99" s="131">
        <f>I99+K99+L99+M99+N99+O99+P99</f>
        <v>500</v>
      </c>
      <c r="R99" s="52"/>
      <c r="S99" s="52"/>
      <c r="T99" s="52"/>
      <c r="U99" s="52"/>
      <c r="V99" s="52">
        <v>150</v>
      </c>
      <c r="W99" s="52"/>
      <c r="X99" s="52"/>
      <c r="Y99" s="52"/>
      <c r="Z99" s="52"/>
      <c r="AA99" s="52"/>
      <c r="AB99" s="52"/>
      <c r="AC99" s="52"/>
      <c r="AD99" s="34">
        <f>SUM(R99:AC99)</f>
        <v>150</v>
      </c>
      <c r="AE99" s="52">
        <f>Q99-AD99</f>
        <v>350</v>
      </c>
      <c r="AF99" s="132">
        <f t="shared" si="30"/>
        <v>30</v>
      </c>
    </row>
    <row r="100" spans="2:32" s="42" customFormat="1" ht="16.5" customHeight="1">
      <c r="B100" s="129"/>
      <c r="C100" s="30"/>
      <c r="D100" s="30">
        <v>4410</v>
      </c>
      <c r="E100" s="32" t="s">
        <v>491</v>
      </c>
      <c r="F100" s="52">
        <v>100</v>
      </c>
      <c r="G100" s="51">
        <v>100</v>
      </c>
      <c r="H100" s="52">
        <v>100</v>
      </c>
      <c r="I100" s="52">
        <v>100</v>
      </c>
      <c r="J100" s="557"/>
      <c r="K100" s="53"/>
      <c r="L100" s="53"/>
      <c r="M100" s="53"/>
      <c r="N100" s="53"/>
      <c r="O100" s="53"/>
      <c r="P100" s="53"/>
      <c r="Q100" s="131">
        <f>I100+K100+L100+M100+N100+O100+P100</f>
        <v>100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34">
        <f>SUM(R100:AC100)</f>
        <v>0</v>
      </c>
      <c r="AE100" s="52">
        <f>Q100-AD100</f>
        <v>100</v>
      </c>
      <c r="AF100" s="132">
        <f t="shared" si="30"/>
        <v>0</v>
      </c>
    </row>
    <row r="101" spans="2:32" s="42" customFormat="1" ht="68.25" customHeight="1">
      <c r="B101" s="140">
        <v>756</v>
      </c>
      <c r="C101" s="141"/>
      <c r="D101" s="141"/>
      <c r="E101" s="142" t="s">
        <v>526</v>
      </c>
      <c r="F101" s="139">
        <f>F102</f>
        <v>33700</v>
      </c>
      <c r="G101" s="137">
        <f>G102</f>
        <v>37700</v>
      </c>
      <c r="H101" s="139">
        <f>H102</f>
        <v>37700</v>
      </c>
      <c r="I101" s="139">
        <f>I102</f>
        <v>37700</v>
      </c>
      <c r="J101" s="292"/>
      <c r="K101" s="138">
        <f aca="true" t="shared" si="42" ref="K101:AC101">K102</f>
        <v>100</v>
      </c>
      <c r="L101" s="138">
        <f t="shared" si="42"/>
        <v>0</v>
      </c>
      <c r="M101" s="138">
        <f t="shared" si="42"/>
        <v>0</v>
      </c>
      <c r="N101" s="138">
        <f t="shared" si="42"/>
        <v>0</v>
      </c>
      <c r="O101" s="138">
        <f t="shared" si="42"/>
        <v>0</v>
      </c>
      <c r="P101" s="138">
        <f t="shared" si="42"/>
        <v>0</v>
      </c>
      <c r="Q101" s="139">
        <f t="shared" si="42"/>
        <v>37800</v>
      </c>
      <c r="R101" s="139">
        <f t="shared" si="42"/>
        <v>194.34</v>
      </c>
      <c r="S101" s="139">
        <f t="shared" si="42"/>
        <v>373.38</v>
      </c>
      <c r="T101" s="139">
        <f t="shared" si="42"/>
        <v>7635.22</v>
      </c>
      <c r="U101" s="139">
        <f t="shared" si="42"/>
        <v>1550.8</v>
      </c>
      <c r="V101" s="139">
        <f t="shared" si="42"/>
        <v>7002.46</v>
      </c>
      <c r="W101" s="139">
        <f t="shared" si="42"/>
        <v>976.8199999999999</v>
      </c>
      <c r="X101" s="139">
        <f t="shared" si="42"/>
        <v>0</v>
      </c>
      <c r="Y101" s="139">
        <f t="shared" si="42"/>
        <v>0</v>
      </c>
      <c r="Z101" s="139">
        <f t="shared" si="42"/>
        <v>0</v>
      </c>
      <c r="AA101" s="139">
        <f t="shared" si="42"/>
        <v>0</v>
      </c>
      <c r="AB101" s="139">
        <f t="shared" si="42"/>
        <v>0</v>
      </c>
      <c r="AC101" s="139">
        <f t="shared" si="42"/>
        <v>0</v>
      </c>
      <c r="AD101" s="139">
        <f>AD102</f>
        <v>17733.020000000004</v>
      </c>
      <c r="AE101" s="139">
        <f>AE102</f>
        <v>20066.979999999996</v>
      </c>
      <c r="AF101" s="128">
        <f t="shared" si="30"/>
        <v>46.91275132275133</v>
      </c>
    </row>
    <row r="102" spans="2:32" s="42" customFormat="1" ht="38.25">
      <c r="B102" s="129"/>
      <c r="C102" s="43">
        <v>75647</v>
      </c>
      <c r="D102" s="43"/>
      <c r="E102" s="45" t="s">
        <v>527</v>
      </c>
      <c r="F102" s="48">
        <f>SUM(F103:F105)</f>
        <v>33700</v>
      </c>
      <c r="G102" s="46">
        <f>SUM(G103:G105)</f>
        <v>37700</v>
      </c>
      <c r="H102" s="48">
        <f>SUM(H103:H105)</f>
        <v>37700</v>
      </c>
      <c r="I102" s="48">
        <f>SUM(I103:I105)</f>
        <v>37700</v>
      </c>
      <c r="J102" s="286"/>
      <c r="K102" s="49">
        <f aca="true" t="shared" si="43" ref="K102:Z102">SUM(K103:K105)</f>
        <v>100</v>
      </c>
      <c r="L102" s="49">
        <f t="shared" si="43"/>
        <v>0</v>
      </c>
      <c r="M102" s="49">
        <f t="shared" si="43"/>
        <v>0</v>
      </c>
      <c r="N102" s="49">
        <f t="shared" si="43"/>
        <v>0</v>
      </c>
      <c r="O102" s="49">
        <f t="shared" si="43"/>
        <v>0</v>
      </c>
      <c r="P102" s="49">
        <f t="shared" si="43"/>
        <v>0</v>
      </c>
      <c r="Q102" s="40">
        <f t="shared" si="43"/>
        <v>37800</v>
      </c>
      <c r="R102" s="48">
        <f t="shared" si="43"/>
        <v>194.34</v>
      </c>
      <c r="S102" s="48">
        <f t="shared" si="43"/>
        <v>373.38</v>
      </c>
      <c r="T102" s="48">
        <f>SUM(T103:T105)</f>
        <v>7635.22</v>
      </c>
      <c r="U102" s="48">
        <f t="shared" si="43"/>
        <v>1550.8</v>
      </c>
      <c r="V102" s="48">
        <f t="shared" si="43"/>
        <v>7002.46</v>
      </c>
      <c r="W102" s="48">
        <f t="shared" si="43"/>
        <v>976.8199999999999</v>
      </c>
      <c r="X102" s="48">
        <f t="shared" si="43"/>
        <v>0</v>
      </c>
      <c r="Y102" s="48">
        <f t="shared" si="43"/>
        <v>0</v>
      </c>
      <c r="Z102" s="48">
        <f t="shared" si="43"/>
        <v>0</v>
      </c>
      <c r="AA102" s="48">
        <f>SUM(AA103:AA105)</f>
        <v>0</v>
      </c>
      <c r="AB102" s="48">
        <f>SUM(AB103:AB105)</f>
        <v>0</v>
      </c>
      <c r="AC102" s="48">
        <f>SUM(AC103:AC105)</f>
        <v>0</v>
      </c>
      <c r="AD102" s="48">
        <f>SUM(AD103:AD105)</f>
        <v>17733.020000000004</v>
      </c>
      <c r="AE102" s="48">
        <f>SUM(AE103:AE105)</f>
        <v>20066.979999999996</v>
      </c>
      <c r="AF102" s="130">
        <f t="shared" si="30"/>
        <v>46.91275132275133</v>
      </c>
    </row>
    <row r="103" spans="2:32" s="42" customFormat="1" ht="29.25" customHeight="1">
      <c r="B103" s="129"/>
      <c r="C103" s="30"/>
      <c r="D103" s="30">
        <v>4100</v>
      </c>
      <c r="E103" s="32" t="s">
        <v>528</v>
      </c>
      <c r="F103" s="52">
        <v>31000</v>
      </c>
      <c r="G103" s="51">
        <v>35000</v>
      </c>
      <c r="H103" s="52">
        <v>35000</v>
      </c>
      <c r="I103" s="52">
        <v>35000</v>
      </c>
      <c r="J103" s="286" t="s">
        <v>645</v>
      </c>
      <c r="K103" s="53"/>
      <c r="L103" s="53"/>
      <c r="M103" s="53"/>
      <c r="N103" s="51">
        <v>-265</v>
      </c>
      <c r="O103" s="53"/>
      <c r="P103" s="53"/>
      <c r="Q103" s="131">
        <f>I103+K103+L103+M103+N103+O103+P103</f>
        <v>34735</v>
      </c>
      <c r="R103" s="52"/>
      <c r="S103" s="52"/>
      <c r="T103" s="52">
        <v>7376.38</v>
      </c>
      <c r="U103" s="52">
        <v>1321</v>
      </c>
      <c r="V103" s="52">
        <v>6852.63</v>
      </c>
      <c r="W103" s="52">
        <v>528</v>
      </c>
      <c r="X103" s="52"/>
      <c r="Y103" s="52"/>
      <c r="Z103" s="52"/>
      <c r="AA103" s="52"/>
      <c r="AB103" s="52"/>
      <c r="AC103" s="52"/>
      <c r="AD103" s="34">
        <f>SUM(R103:AC103)</f>
        <v>16078.010000000002</v>
      </c>
      <c r="AE103" s="52">
        <f>Q103-AD103</f>
        <v>18656.989999999998</v>
      </c>
      <c r="AF103" s="132">
        <f t="shared" si="30"/>
        <v>46.28763495033828</v>
      </c>
    </row>
    <row r="104" spans="2:32" s="42" customFormat="1" ht="32.25" customHeight="1">
      <c r="B104" s="129"/>
      <c r="C104" s="30"/>
      <c r="D104" s="30">
        <v>4210</v>
      </c>
      <c r="E104" s="32" t="s">
        <v>469</v>
      </c>
      <c r="F104" s="52">
        <v>200</v>
      </c>
      <c r="G104" s="51">
        <v>200</v>
      </c>
      <c r="H104" s="52">
        <v>200</v>
      </c>
      <c r="I104" s="52">
        <v>200</v>
      </c>
      <c r="J104" s="286" t="s">
        <v>646</v>
      </c>
      <c r="K104" s="53">
        <v>100</v>
      </c>
      <c r="L104" s="53"/>
      <c r="M104" s="53"/>
      <c r="N104" s="53">
        <v>265</v>
      </c>
      <c r="O104" s="53"/>
      <c r="P104" s="53"/>
      <c r="Q104" s="131">
        <f>I104+K104+L104+M104+N104+O104+P104</f>
        <v>565</v>
      </c>
      <c r="R104" s="52"/>
      <c r="S104" s="52">
        <v>259.72</v>
      </c>
      <c r="T104" s="52"/>
      <c r="U104" s="52"/>
      <c r="V104" s="52"/>
      <c r="W104" s="52">
        <v>305</v>
      </c>
      <c r="X104" s="52"/>
      <c r="Y104" s="52"/>
      <c r="Z104" s="52"/>
      <c r="AA104" s="52"/>
      <c r="AB104" s="52"/>
      <c r="AC104" s="52"/>
      <c r="AD104" s="34">
        <f>SUM(R104:AC104)</f>
        <v>564.72</v>
      </c>
      <c r="AE104" s="52">
        <f>Q104-AD104</f>
        <v>0.2799999999999727</v>
      </c>
      <c r="AF104" s="132">
        <f t="shared" si="30"/>
        <v>99.95044247787611</v>
      </c>
    </row>
    <row r="105" spans="2:32" s="42" customFormat="1" ht="30.75" customHeight="1">
      <c r="B105" s="129"/>
      <c r="C105" s="30"/>
      <c r="D105" s="30">
        <v>4610</v>
      </c>
      <c r="E105" s="32" t="s">
        <v>529</v>
      </c>
      <c r="F105" s="52">
        <v>2500</v>
      </c>
      <c r="G105" s="51">
        <v>2500</v>
      </c>
      <c r="H105" s="52">
        <v>2500</v>
      </c>
      <c r="I105" s="52">
        <v>2500</v>
      </c>
      <c r="J105" s="286" t="s">
        <v>647</v>
      </c>
      <c r="K105" s="53"/>
      <c r="L105" s="53"/>
      <c r="M105" s="53"/>
      <c r="N105" s="53"/>
      <c r="O105" s="53"/>
      <c r="P105" s="53"/>
      <c r="Q105" s="131">
        <f>I105+K105+L105+M105+N105+O105+P105</f>
        <v>2500</v>
      </c>
      <c r="R105" s="52">
        <v>194.34</v>
      </c>
      <c r="S105" s="52">
        <v>113.66</v>
      </c>
      <c r="T105" s="52">
        <v>258.84</v>
      </c>
      <c r="U105" s="52">
        <v>229.8</v>
      </c>
      <c r="V105" s="52">
        <v>149.83</v>
      </c>
      <c r="W105" s="52">
        <v>143.82</v>
      </c>
      <c r="X105" s="52"/>
      <c r="Y105" s="52"/>
      <c r="Z105" s="52"/>
      <c r="AA105" s="52"/>
      <c r="AB105" s="52"/>
      <c r="AC105" s="52"/>
      <c r="AD105" s="34">
        <f>SUM(R105:AC105)</f>
        <v>1090.29</v>
      </c>
      <c r="AE105" s="52">
        <f>Q105-AD105</f>
        <v>1409.71</v>
      </c>
      <c r="AF105" s="132">
        <f t="shared" si="30"/>
        <v>43.6116</v>
      </c>
    </row>
    <row r="106" spans="2:32" s="42" customFormat="1" ht="12.75">
      <c r="B106" s="140">
        <v>757</v>
      </c>
      <c r="C106" s="141"/>
      <c r="D106" s="141"/>
      <c r="E106" s="142" t="s">
        <v>530</v>
      </c>
      <c r="F106" s="139">
        <f aca="true" t="shared" si="44" ref="F106:AE106">F107</f>
        <v>117224</v>
      </c>
      <c r="G106" s="137">
        <f t="shared" si="44"/>
        <v>189557</v>
      </c>
      <c r="H106" s="139">
        <f t="shared" si="44"/>
        <v>184478</v>
      </c>
      <c r="I106" s="139">
        <f t="shared" si="44"/>
        <v>184478</v>
      </c>
      <c r="J106" s="292"/>
      <c r="K106" s="138">
        <f t="shared" si="44"/>
        <v>16487</v>
      </c>
      <c r="L106" s="138">
        <f t="shared" si="44"/>
        <v>0</v>
      </c>
      <c r="M106" s="138">
        <f t="shared" si="44"/>
        <v>0</v>
      </c>
      <c r="N106" s="138">
        <f t="shared" si="44"/>
        <v>0</v>
      </c>
      <c r="O106" s="138">
        <f t="shared" si="44"/>
        <v>0</v>
      </c>
      <c r="P106" s="138">
        <f t="shared" si="44"/>
        <v>0</v>
      </c>
      <c r="Q106" s="139">
        <f>Q107</f>
        <v>200965</v>
      </c>
      <c r="R106" s="139">
        <f t="shared" si="44"/>
        <v>4096.860000000001</v>
      </c>
      <c r="S106" s="139">
        <f t="shared" si="44"/>
        <v>14739.36</v>
      </c>
      <c r="T106" s="139">
        <f t="shared" si="44"/>
        <v>16204.78</v>
      </c>
      <c r="U106" s="139">
        <f t="shared" si="44"/>
        <v>13450.74</v>
      </c>
      <c r="V106" s="139">
        <f t="shared" si="44"/>
        <v>9336.42</v>
      </c>
      <c r="W106" s="139">
        <f t="shared" si="44"/>
        <v>5255.95</v>
      </c>
      <c r="X106" s="139">
        <f t="shared" si="44"/>
        <v>0</v>
      </c>
      <c r="Y106" s="139">
        <f t="shared" si="44"/>
        <v>0</v>
      </c>
      <c r="Z106" s="139">
        <f t="shared" si="44"/>
        <v>0</v>
      </c>
      <c r="AA106" s="139">
        <f t="shared" si="44"/>
        <v>0</v>
      </c>
      <c r="AB106" s="139">
        <f t="shared" si="44"/>
        <v>0</v>
      </c>
      <c r="AC106" s="139">
        <f t="shared" si="44"/>
        <v>0</v>
      </c>
      <c r="AD106" s="139">
        <f t="shared" si="44"/>
        <v>63084.11</v>
      </c>
      <c r="AE106" s="139">
        <f t="shared" si="44"/>
        <v>137880.89</v>
      </c>
      <c r="AF106" s="128">
        <f t="shared" si="30"/>
        <v>31.390595377304507</v>
      </c>
    </row>
    <row r="107" spans="2:32" s="42" customFormat="1" ht="55.5" customHeight="1">
      <c r="B107" s="129"/>
      <c r="C107" s="43">
        <v>75702</v>
      </c>
      <c r="D107" s="43"/>
      <c r="E107" s="45" t="s">
        <v>531</v>
      </c>
      <c r="F107" s="48">
        <f>SUM(F108:F109)</f>
        <v>117224</v>
      </c>
      <c r="G107" s="46">
        <f>SUM(G108:G109)</f>
        <v>189557</v>
      </c>
      <c r="H107" s="48">
        <f>SUM(H108:H109)</f>
        <v>184478</v>
      </c>
      <c r="I107" s="48">
        <f>SUM(I108:I109)</f>
        <v>184478</v>
      </c>
      <c r="J107" s="299"/>
      <c r="K107" s="49">
        <f aca="true" t="shared" si="45" ref="K107:Z107">SUM(K108:K109)</f>
        <v>16487</v>
      </c>
      <c r="L107" s="49">
        <f t="shared" si="45"/>
        <v>0</v>
      </c>
      <c r="M107" s="49">
        <f t="shared" si="45"/>
        <v>0</v>
      </c>
      <c r="N107" s="49">
        <f t="shared" si="45"/>
        <v>0</v>
      </c>
      <c r="O107" s="49">
        <f t="shared" si="45"/>
        <v>0</v>
      </c>
      <c r="P107" s="49">
        <f t="shared" si="45"/>
        <v>0</v>
      </c>
      <c r="Q107" s="148">
        <f t="shared" si="45"/>
        <v>200965</v>
      </c>
      <c r="R107" s="48">
        <f t="shared" si="45"/>
        <v>4096.860000000001</v>
      </c>
      <c r="S107" s="48">
        <f t="shared" si="45"/>
        <v>14739.36</v>
      </c>
      <c r="T107" s="48">
        <f t="shared" si="45"/>
        <v>16204.78</v>
      </c>
      <c r="U107" s="48">
        <f t="shared" si="45"/>
        <v>13450.74</v>
      </c>
      <c r="V107" s="48">
        <f t="shared" si="45"/>
        <v>9336.42</v>
      </c>
      <c r="W107" s="48">
        <f t="shared" si="45"/>
        <v>5255.95</v>
      </c>
      <c r="X107" s="48">
        <f t="shared" si="45"/>
        <v>0</v>
      </c>
      <c r="Y107" s="48">
        <f t="shared" si="45"/>
        <v>0</v>
      </c>
      <c r="Z107" s="48">
        <f t="shared" si="45"/>
        <v>0</v>
      </c>
      <c r="AA107" s="48">
        <f>SUM(AA108:AA109)</f>
        <v>0</v>
      </c>
      <c r="AB107" s="48">
        <f>SUM(AB108:AB109)</f>
        <v>0</v>
      </c>
      <c r="AC107" s="48">
        <f>SUM(AC108:AC109)</f>
        <v>0</v>
      </c>
      <c r="AD107" s="48">
        <f>SUM(AD108:AD109)</f>
        <v>63084.11</v>
      </c>
      <c r="AE107" s="48">
        <f>SUM(AE108:AE109)</f>
        <v>137880.89</v>
      </c>
      <c r="AF107" s="130">
        <f t="shared" si="30"/>
        <v>31.390595377304507</v>
      </c>
    </row>
    <row r="108" spans="2:32" s="42" customFormat="1" ht="57.75" customHeight="1">
      <c r="B108" s="129"/>
      <c r="C108" s="30"/>
      <c r="D108" s="30">
        <v>8070</v>
      </c>
      <c r="E108" s="32" t="s">
        <v>532</v>
      </c>
      <c r="F108" s="52">
        <v>80524</v>
      </c>
      <c r="G108" s="51">
        <v>159557</v>
      </c>
      <c r="H108" s="52">
        <f>159557-79</f>
        <v>159478</v>
      </c>
      <c r="I108" s="52">
        <f>159557-79</f>
        <v>159478</v>
      </c>
      <c r="J108" s="299" t="s">
        <v>648</v>
      </c>
      <c r="K108" s="53"/>
      <c r="L108" s="53"/>
      <c r="M108" s="53">
        <v>41487</v>
      </c>
      <c r="N108" s="53"/>
      <c r="O108" s="53"/>
      <c r="P108" s="53"/>
      <c r="Q108" s="131">
        <f>I108+K108+L108+M108+N108+O108+P108</f>
        <v>200965</v>
      </c>
      <c r="R108" s="52">
        <v>4023.32</v>
      </c>
      <c r="S108" s="52">
        <v>14563.42</v>
      </c>
      <c r="T108" s="52">
        <v>13059.77</v>
      </c>
      <c r="U108" s="52">
        <v>10305.73</v>
      </c>
      <c r="V108" s="52">
        <f>9336.42+6539.5</f>
        <v>15875.92</v>
      </c>
      <c r="W108" s="52">
        <v>5255.95</v>
      </c>
      <c r="X108" s="52"/>
      <c r="Y108" s="52"/>
      <c r="Z108" s="52"/>
      <c r="AA108" s="52"/>
      <c r="AB108" s="52"/>
      <c r="AC108" s="52"/>
      <c r="AD108" s="34">
        <f>SUM(R108:AC108)</f>
        <v>63084.11</v>
      </c>
      <c r="AE108" s="52">
        <f>Q108-AD108</f>
        <v>137880.89</v>
      </c>
      <c r="AF108" s="132">
        <f t="shared" si="30"/>
        <v>31.390595377304507</v>
      </c>
    </row>
    <row r="109" spans="2:32" s="42" customFormat="1" ht="57" customHeight="1">
      <c r="B109" s="129"/>
      <c r="C109" s="30"/>
      <c r="D109" s="30">
        <v>8078</v>
      </c>
      <c r="E109" s="32" t="s">
        <v>532</v>
      </c>
      <c r="F109" s="52">
        <v>36700</v>
      </c>
      <c r="G109" s="51">
        <v>30000</v>
      </c>
      <c r="H109" s="52">
        <v>25000</v>
      </c>
      <c r="I109" s="52">
        <v>25000</v>
      </c>
      <c r="J109" s="299" t="s">
        <v>224</v>
      </c>
      <c r="K109" s="53">
        <v>16487</v>
      </c>
      <c r="L109" s="53"/>
      <c r="M109" s="51">
        <v>-41487</v>
      </c>
      <c r="N109" s="53"/>
      <c r="O109" s="53"/>
      <c r="P109" s="53"/>
      <c r="Q109" s="131">
        <f>I109+K109+L109+M109+N109+O109+P109</f>
        <v>0</v>
      </c>
      <c r="R109" s="52">
        <v>73.54</v>
      </c>
      <c r="S109" s="52">
        <v>175.94</v>
      </c>
      <c r="T109" s="52">
        <v>3145.01</v>
      </c>
      <c r="U109" s="52">
        <v>3145.01</v>
      </c>
      <c r="V109" s="51">
        <v>-6539.5</v>
      </c>
      <c r="W109" s="52"/>
      <c r="X109" s="52"/>
      <c r="Y109" s="52"/>
      <c r="Z109" s="52"/>
      <c r="AA109" s="52"/>
      <c r="AB109" s="52"/>
      <c r="AC109" s="52"/>
      <c r="AD109" s="34">
        <f>SUM(R109:AC109)</f>
        <v>0</v>
      </c>
      <c r="AE109" s="52">
        <f>Q109-AD109</f>
        <v>0</v>
      </c>
      <c r="AF109" s="132"/>
    </row>
    <row r="110" spans="2:32" s="42" customFormat="1" ht="12.75">
      <c r="B110" s="140">
        <v>758</v>
      </c>
      <c r="C110" s="141"/>
      <c r="D110" s="141"/>
      <c r="E110" s="142" t="s">
        <v>1032</v>
      </c>
      <c r="F110" s="139">
        <f>F111</f>
        <v>59000</v>
      </c>
      <c r="G110" s="137">
        <f>G111</f>
        <v>80000</v>
      </c>
      <c r="H110" s="139">
        <f>H111</f>
        <v>80000</v>
      </c>
      <c r="I110" s="139">
        <f>I111</f>
        <v>100000</v>
      </c>
      <c r="J110" s="292"/>
      <c r="K110" s="138">
        <f aca="true" t="shared" si="46" ref="K110:AC110">K111</f>
        <v>100000</v>
      </c>
      <c r="L110" s="137">
        <f t="shared" si="46"/>
        <v>-169601</v>
      </c>
      <c r="M110" s="137">
        <f t="shared" si="46"/>
        <v>-30000</v>
      </c>
      <c r="N110" s="137">
        <f t="shared" si="46"/>
        <v>-300</v>
      </c>
      <c r="O110" s="138">
        <f t="shared" si="46"/>
        <v>0</v>
      </c>
      <c r="P110" s="138">
        <f t="shared" si="46"/>
        <v>0</v>
      </c>
      <c r="Q110" s="139">
        <f t="shared" si="46"/>
        <v>99</v>
      </c>
      <c r="R110" s="139">
        <f t="shared" si="46"/>
        <v>0</v>
      </c>
      <c r="S110" s="139">
        <f t="shared" si="46"/>
        <v>0</v>
      </c>
      <c r="T110" s="139">
        <f t="shared" si="46"/>
        <v>0</v>
      </c>
      <c r="U110" s="139">
        <f t="shared" si="46"/>
        <v>0</v>
      </c>
      <c r="V110" s="139">
        <f t="shared" si="46"/>
        <v>0</v>
      </c>
      <c r="W110" s="139">
        <f t="shared" si="46"/>
        <v>0</v>
      </c>
      <c r="X110" s="139">
        <f t="shared" si="46"/>
        <v>0</v>
      </c>
      <c r="Y110" s="139">
        <f t="shared" si="46"/>
        <v>0</v>
      </c>
      <c r="Z110" s="139">
        <f t="shared" si="46"/>
        <v>0</v>
      </c>
      <c r="AA110" s="139">
        <f t="shared" si="46"/>
        <v>0</v>
      </c>
      <c r="AB110" s="139">
        <f t="shared" si="46"/>
        <v>0</v>
      </c>
      <c r="AC110" s="139">
        <f t="shared" si="46"/>
        <v>0</v>
      </c>
      <c r="AD110" s="139">
        <f>AD111</f>
        <v>0</v>
      </c>
      <c r="AE110" s="139">
        <f>AE111</f>
        <v>99</v>
      </c>
      <c r="AF110" s="128"/>
    </row>
    <row r="111" spans="2:32" s="42" customFormat="1" ht="13.5" customHeight="1">
      <c r="B111" s="129"/>
      <c r="C111" s="43">
        <v>75818</v>
      </c>
      <c r="D111" s="43"/>
      <c r="E111" s="45" t="s">
        <v>533</v>
      </c>
      <c r="F111" s="48">
        <f aca="true" t="shared" si="47" ref="F111:AE111">SUM(F112:F112)</f>
        <v>59000</v>
      </c>
      <c r="G111" s="46">
        <f t="shared" si="47"/>
        <v>80000</v>
      </c>
      <c r="H111" s="48">
        <f t="shared" si="47"/>
        <v>80000</v>
      </c>
      <c r="I111" s="48">
        <f t="shared" si="47"/>
        <v>100000</v>
      </c>
      <c r="J111" s="556" t="s">
        <v>225</v>
      </c>
      <c r="K111" s="49">
        <f t="shared" si="47"/>
        <v>100000</v>
      </c>
      <c r="L111" s="46">
        <f t="shared" si="47"/>
        <v>-169601</v>
      </c>
      <c r="M111" s="46">
        <f t="shared" si="47"/>
        <v>-30000</v>
      </c>
      <c r="N111" s="46">
        <f t="shared" si="47"/>
        <v>-300</v>
      </c>
      <c r="O111" s="49">
        <f t="shared" si="47"/>
        <v>0</v>
      </c>
      <c r="P111" s="49">
        <f t="shared" si="47"/>
        <v>0</v>
      </c>
      <c r="Q111" s="148">
        <f>SUM(Q112:Q112)</f>
        <v>99</v>
      </c>
      <c r="R111" s="48">
        <f t="shared" si="47"/>
        <v>0</v>
      </c>
      <c r="S111" s="48">
        <f t="shared" si="47"/>
        <v>0</v>
      </c>
      <c r="T111" s="48">
        <f t="shared" si="47"/>
        <v>0</v>
      </c>
      <c r="U111" s="48">
        <f t="shared" si="47"/>
        <v>0</v>
      </c>
      <c r="V111" s="48">
        <f t="shared" si="47"/>
        <v>0</v>
      </c>
      <c r="W111" s="48">
        <f t="shared" si="47"/>
        <v>0</v>
      </c>
      <c r="X111" s="48">
        <f t="shared" si="47"/>
        <v>0</v>
      </c>
      <c r="Y111" s="48">
        <f t="shared" si="47"/>
        <v>0</v>
      </c>
      <c r="Z111" s="48">
        <f t="shared" si="47"/>
        <v>0</v>
      </c>
      <c r="AA111" s="48">
        <f t="shared" si="47"/>
        <v>0</v>
      </c>
      <c r="AB111" s="48">
        <f t="shared" si="47"/>
        <v>0</v>
      </c>
      <c r="AC111" s="48">
        <f t="shared" si="47"/>
        <v>0</v>
      </c>
      <c r="AD111" s="48">
        <f t="shared" si="47"/>
        <v>0</v>
      </c>
      <c r="AE111" s="48">
        <f t="shared" si="47"/>
        <v>99</v>
      </c>
      <c r="AF111" s="130"/>
    </row>
    <row r="112" spans="2:32" s="42" customFormat="1" ht="15.75" customHeight="1">
      <c r="B112" s="129"/>
      <c r="C112" s="30"/>
      <c r="D112" s="30">
        <v>4810</v>
      </c>
      <c r="E112" s="32" t="s">
        <v>534</v>
      </c>
      <c r="F112" s="52">
        <v>59000</v>
      </c>
      <c r="G112" s="51">
        <v>80000</v>
      </c>
      <c r="H112" s="52">
        <v>80000</v>
      </c>
      <c r="I112" s="52">
        <v>100000</v>
      </c>
      <c r="J112" s="557"/>
      <c r="K112" s="53">
        <v>100000</v>
      </c>
      <c r="L112" s="51">
        <v>-169601</v>
      </c>
      <c r="M112" s="51">
        <v>-30000</v>
      </c>
      <c r="N112" s="51">
        <v>-300</v>
      </c>
      <c r="O112" s="53"/>
      <c r="P112" s="53"/>
      <c r="Q112" s="131">
        <f>I112+K112+L112+M112+N112+O112+P112</f>
        <v>99</v>
      </c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34">
        <f>SUM(R112:AC112)</f>
        <v>0</v>
      </c>
      <c r="AE112" s="52">
        <f>Q112-AD112</f>
        <v>99</v>
      </c>
      <c r="AF112" s="132"/>
    </row>
    <row r="113" spans="2:32" s="42" customFormat="1" ht="12.75">
      <c r="B113" s="140">
        <v>801</v>
      </c>
      <c r="C113" s="141"/>
      <c r="D113" s="141"/>
      <c r="E113" s="142" t="s">
        <v>665</v>
      </c>
      <c r="F113" s="139">
        <f>F114+F143+F158+F174+F182+F196+F193+F130</f>
        <v>11619257</v>
      </c>
      <c r="G113" s="137">
        <f>G114+G143+G158+G174+G182+G196+G193+G130</f>
        <v>11591752</v>
      </c>
      <c r="H113" s="139">
        <f>H114+H143+H158+H174+H182+H196+H193+H130</f>
        <v>11312122</v>
      </c>
      <c r="I113" s="139">
        <f>I114+I143+I158+I174+I182+I196+I193+I130</f>
        <v>11312122</v>
      </c>
      <c r="J113" s="292"/>
      <c r="K113" s="138">
        <f aca="true" t="shared" si="48" ref="K113:AE113">K114+K143+K158+K174+K182+K196+K193+K130</f>
        <v>5750095</v>
      </c>
      <c r="L113" s="138">
        <f t="shared" si="48"/>
        <v>0</v>
      </c>
      <c r="M113" s="138">
        <f t="shared" si="48"/>
        <v>0</v>
      </c>
      <c r="N113" s="138">
        <f t="shared" si="48"/>
        <v>1145</v>
      </c>
      <c r="O113" s="138">
        <f t="shared" si="48"/>
        <v>0</v>
      </c>
      <c r="P113" s="138">
        <f t="shared" si="48"/>
        <v>0</v>
      </c>
      <c r="Q113" s="139">
        <f t="shared" si="48"/>
        <v>17063362</v>
      </c>
      <c r="R113" s="139">
        <f t="shared" si="48"/>
        <v>5947785.920000001</v>
      </c>
      <c r="S113" s="139">
        <f t="shared" si="48"/>
        <v>435389.93</v>
      </c>
      <c r="T113" s="139">
        <f t="shared" si="48"/>
        <v>570395.92</v>
      </c>
      <c r="U113" s="139">
        <f t="shared" si="48"/>
        <v>696122.69</v>
      </c>
      <c r="V113" s="139">
        <f t="shared" si="48"/>
        <v>429422.5200000001</v>
      </c>
      <c r="W113" s="139">
        <f t="shared" si="48"/>
        <v>2586366.62</v>
      </c>
      <c r="X113" s="139">
        <f t="shared" si="48"/>
        <v>0</v>
      </c>
      <c r="Y113" s="139">
        <f t="shared" si="48"/>
        <v>0</v>
      </c>
      <c r="Z113" s="139">
        <f t="shared" si="48"/>
        <v>0</v>
      </c>
      <c r="AA113" s="139">
        <f>AA114+AA143+AA158+AA174+AA182+AA196+AA193+AA130</f>
        <v>0</v>
      </c>
      <c r="AB113" s="139">
        <f>AB114+AB143+AB158+AB174+AB182+AB196+AB193+AB130</f>
        <v>0</v>
      </c>
      <c r="AC113" s="139">
        <f>AC114+AC143+AC158+AC174+AC182+AC196+AC193+AC130</f>
        <v>0</v>
      </c>
      <c r="AD113" s="139">
        <f t="shared" si="48"/>
        <v>10665483.6</v>
      </c>
      <c r="AE113" s="139">
        <f t="shared" si="48"/>
        <v>6397878.399999999</v>
      </c>
      <c r="AF113" s="128">
        <f t="shared" si="30"/>
        <v>62.50517102081055</v>
      </c>
    </row>
    <row r="114" spans="2:32" s="42" customFormat="1" ht="15.75" customHeight="1">
      <c r="B114" s="129"/>
      <c r="C114" s="43">
        <v>80101</v>
      </c>
      <c r="D114" s="43"/>
      <c r="E114" s="45" t="s">
        <v>666</v>
      </c>
      <c r="F114" s="48">
        <f>SUM(F115:F129)</f>
        <v>2840469</v>
      </c>
      <c r="G114" s="46">
        <f>SUM(G115:G129)</f>
        <v>2806080</v>
      </c>
      <c r="H114" s="48">
        <f>SUM(H115:H129)</f>
        <v>2617230</v>
      </c>
      <c r="I114" s="48">
        <f>SUM(I115:I129)</f>
        <v>2617230</v>
      </c>
      <c r="J114" s="289"/>
      <c r="K114" s="49">
        <f aca="true" t="shared" si="49" ref="K114:Z114">SUM(K115:K129)</f>
        <v>0</v>
      </c>
      <c r="L114" s="49">
        <f t="shared" si="49"/>
        <v>0</v>
      </c>
      <c r="M114" s="49">
        <f t="shared" si="49"/>
        <v>0</v>
      </c>
      <c r="N114" s="49">
        <f t="shared" si="49"/>
        <v>1145</v>
      </c>
      <c r="O114" s="49">
        <f t="shared" si="49"/>
        <v>0</v>
      </c>
      <c r="P114" s="49">
        <f t="shared" si="49"/>
        <v>0</v>
      </c>
      <c r="Q114" s="40">
        <f t="shared" si="49"/>
        <v>2618375</v>
      </c>
      <c r="R114" s="48">
        <f t="shared" si="49"/>
        <v>208421.87000000002</v>
      </c>
      <c r="S114" s="48">
        <f t="shared" si="49"/>
        <v>230937.87000000002</v>
      </c>
      <c r="T114" s="48">
        <f t="shared" si="49"/>
        <v>295053.5</v>
      </c>
      <c r="U114" s="48">
        <f t="shared" si="49"/>
        <v>351349.43</v>
      </c>
      <c r="V114" s="48">
        <f t="shared" si="49"/>
        <v>200375.69</v>
      </c>
      <c r="W114" s="48">
        <f t="shared" si="49"/>
        <v>188242.10999999996</v>
      </c>
      <c r="X114" s="48">
        <f t="shared" si="49"/>
        <v>0</v>
      </c>
      <c r="Y114" s="48">
        <f t="shared" si="49"/>
        <v>0</v>
      </c>
      <c r="Z114" s="48">
        <f t="shared" si="49"/>
        <v>0</v>
      </c>
      <c r="AA114" s="48">
        <f>SUM(AA115:AA129)</f>
        <v>0</v>
      </c>
      <c r="AB114" s="48">
        <f>SUM(AB115:AB129)</f>
        <v>0</v>
      </c>
      <c r="AC114" s="48">
        <f>SUM(AC115:AC129)</f>
        <v>0</v>
      </c>
      <c r="AD114" s="48">
        <f>SUM(AD115:AD129)</f>
        <v>1474380.4700000002</v>
      </c>
      <c r="AE114" s="48">
        <f>SUM(AE115:AE129)</f>
        <v>1143994.53</v>
      </c>
      <c r="AF114" s="130">
        <f t="shared" si="30"/>
        <v>56.308988208335336</v>
      </c>
    </row>
    <row r="115" spans="2:32" s="42" customFormat="1" ht="26.25" customHeight="1">
      <c r="B115" s="129"/>
      <c r="C115" s="30"/>
      <c r="D115" s="30">
        <v>3020</v>
      </c>
      <c r="E115" s="32" t="s">
        <v>493</v>
      </c>
      <c r="F115" s="52">
        <v>113200</v>
      </c>
      <c r="G115" s="51">
        <v>102300</v>
      </c>
      <c r="H115" s="52">
        <v>95000</v>
      </c>
      <c r="I115" s="52">
        <v>95000</v>
      </c>
      <c r="J115" s="289" t="s">
        <v>226</v>
      </c>
      <c r="K115" s="53"/>
      <c r="L115" s="53"/>
      <c r="M115" s="53"/>
      <c r="N115" s="53"/>
      <c r="O115" s="53"/>
      <c r="P115" s="53"/>
      <c r="Q115" s="131">
        <f aca="true" t="shared" si="50" ref="Q115:Q178">I115+K115+L115+M115+N115+O115+P115</f>
        <v>95000</v>
      </c>
      <c r="R115" s="52">
        <v>7390.15</v>
      </c>
      <c r="S115" s="52">
        <v>7349</v>
      </c>
      <c r="T115" s="52">
        <v>8113.53</v>
      </c>
      <c r="U115" s="52">
        <v>7546.81</v>
      </c>
      <c r="V115" s="52">
        <v>7606.17</v>
      </c>
      <c r="W115" s="52">
        <v>8020.84</v>
      </c>
      <c r="X115" s="52"/>
      <c r="Y115" s="52"/>
      <c r="Z115" s="52"/>
      <c r="AA115" s="52"/>
      <c r="AB115" s="52"/>
      <c r="AC115" s="52"/>
      <c r="AD115" s="34">
        <f aca="true" t="shared" si="51" ref="AD115:AD129">SUM(R115:AC115)</f>
        <v>46026.5</v>
      </c>
      <c r="AE115" s="52">
        <f aca="true" t="shared" si="52" ref="AE115:AE129">Q115-AD115</f>
        <v>48973.5</v>
      </c>
      <c r="AF115" s="132">
        <f t="shared" si="30"/>
        <v>48.44894736842105</v>
      </c>
    </row>
    <row r="116" spans="2:32" s="42" customFormat="1" ht="29.25" customHeight="1">
      <c r="B116" s="129"/>
      <c r="C116" s="30"/>
      <c r="D116" s="30">
        <v>3260</v>
      </c>
      <c r="E116" s="32" t="s">
        <v>535</v>
      </c>
      <c r="F116" s="52"/>
      <c r="G116" s="51"/>
      <c r="H116" s="52"/>
      <c r="I116" s="52"/>
      <c r="J116" s="289"/>
      <c r="K116" s="53"/>
      <c r="L116" s="53"/>
      <c r="M116" s="53"/>
      <c r="N116" s="53">
        <v>1145</v>
      </c>
      <c r="O116" s="53"/>
      <c r="P116" s="53"/>
      <c r="Q116" s="131">
        <f t="shared" si="50"/>
        <v>1145</v>
      </c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34">
        <f t="shared" si="51"/>
        <v>0</v>
      </c>
      <c r="AE116" s="52">
        <f t="shared" si="52"/>
        <v>1145</v>
      </c>
      <c r="AF116" s="132">
        <f t="shared" si="30"/>
        <v>0</v>
      </c>
    </row>
    <row r="117" spans="2:32" s="42" customFormat="1" ht="29.25" customHeight="1">
      <c r="B117" s="129"/>
      <c r="C117" s="30"/>
      <c r="D117" s="30">
        <v>4010</v>
      </c>
      <c r="E117" s="32" t="s">
        <v>487</v>
      </c>
      <c r="F117" s="52">
        <v>1728380</v>
      </c>
      <c r="G117" s="51">
        <v>1669900</v>
      </c>
      <c r="H117" s="52">
        <v>1514500</v>
      </c>
      <c r="I117" s="52">
        <v>1514500</v>
      </c>
      <c r="J117" s="289" t="s">
        <v>227</v>
      </c>
      <c r="K117" s="53"/>
      <c r="L117" s="53"/>
      <c r="M117" s="53">
        <v>13073</v>
      </c>
      <c r="N117" s="51">
        <v>-3000</v>
      </c>
      <c r="O117" s="53"/>
      <c r="P117" s="53"/>
      <c r="Q117" s="131">
        <f t="shared" si="50"/>
        <v>1524573</v>
      </c>
      <c r="R117" s="52">
        <v>127502.22</v>
      </c>
      <c r="S117" s="52">
        <v>133801.05</v>
      </c>
      <c r="T117" s="52">
        <v>130104.03</v>
      </c>
      <c r="U117" s="52">
        <v>184651.64</v>
      </c>
      <c r="V117" s="52">
        <v>80776.09</v>
      </c>
      <c r="W117" s="52">
        <v>132902.16</v>
      </c>
      <c r="X117" s="52"/>
      <c r="Y117" s="52"/>
      <c r="Z117" s="52"/>
      <c r="AA117" s="52"/>
      <c r="AB117" s="52"/>
      <c r="AC117" s="52"/>
      <c r="AD117" s="34">
        <f t="shared" si="51"/>
        <v>789737.19</v>
      </c>
      <c r="AE117" s="52">
        <f t="shared" si="52"/>
        <v>734835.81</v>
      </c>
      <c r="AF117" s="132">
        <f t="shared" si="30"/>
        <v>51.80054939973356</v>
      </c>
    </row>
    <row r="118" spans="2:32" s="42" customFormat="1" ht="25.5">
      <c r="B118" s="129"/>
      <c r="C118" s="30"/>
      <c r="D118" s="30">
        <v>4040</v>
      </c>
      <c r="E118" s="32" t="s">
        <v>494</v>
      </c>
      <c r="F118" s="52">
        <v>125163</v>
      </c>
      <c r="G118" s="51">
        <v>140850</v>
      </c>
      <c r="H118" s="52">
        <v>140850</v>
      </c>
      <c r="I118" s="52">
        <v>140850</v>
      </c>
      <c r="J118" s="289"/>
      <c r="K118" s="53"/>
      <c r="L118" s="53"/>
      <c r="M118" s="51">
        <v>-13673</v>
      </c>
      <c r="N118" s="53"/>
      <c r="O118" s="53"/>
      <c r="P118" s="53"/>
      <c r="Q118" s="131">
        <f t="shared" si="50"/>
        <v>127177</v>
      </c>
      <c r="R118" s="52"/>
      <c r="S118" s="52"/>
      <c r="T118" s="52">
        <v>82500.18</v>
      </c>
      <c r="U118" s="52">
        <v>44676.53</v>
      </c>
      <c r="V118" s="52"/>
      <c r="W118" s="52"/>
      <c r="X118" s="52"/>
      <c r="Y118" s="52"/>
      <c r="Z118" s="52"/>
      <c r="AA118" s="52"/>
      <c r="AB118" s="52"/>
      <c r="AC118" s="52"/>
      <c r="AD118" s="34">
        <f t="shared" si="51"/>
        <v>127176.70999999999</v>
      </c>
      <c r="AE118" s="52">
        <f t="shared" si="52"/>
        <v>0.2900000000081491</v>
      </c>
      <c r="AF118" s="132">
        <f t="shared" si="30"/>
        <v>99.99977197134702</v>
      </c>
    </row>
    <row r="119" spans="2:32" s="42" customFormat="1" ht="28.5" customHeight="1">
      <c r="B119" s="129"/>
      <c r="C119" s="30"/>
      <c r="D119" s="30">
        <v>4110</v>
      </c>
      <c r="E119" s="32" t="s">
        <v>488</v>
      </c>
      <c r="F119" s="52">
        <v>318750</v>
      </c>
      <c r="G119" s="51">
        <v>340400</v>
      </c>
      <c r="H119" s="52">
        <v>317000</v>
      </c>
      <c r="I119" s="52">
        <v>317000</v>
      </c>
      <c r="J119" s="289"/>
      <c r="K119" s="53"/>
      <c r="L119" s="53"/>
      <c r="M119" s="53"/>
      <c r="N119" s="53"/>
      <c r="O119" s="53"/>
      <c r="P119" s="53"/>
      <c r="Q119" s="131">
        <f t="shared" si="50"/>
        <v>317000</v>
      </c>
      <c r="R119" s="52">
        <v>24540.51</v>
      </c>
      <c r="S119" s="52">
        <v>21382.93</v>
      </c>
      <c r="T119" s="52">
        <v>24314.8</v>
      </c>
      <c r="U119" s="52">
        <v>46950.47</v>
      </c>
      <c r="V119" s="52">
        <v>21549.9</v>
      </c>
      <c r="W119" s="52">
        <v>24363.68</v>
      </c>
      <c r="X119" s="52"/>
      <c r="Y119" s="52"/>
      <c r="Z119" s="52"/>
      <c r="AA119" s="52"/>
      <c r="AB119" s="52"/>
      <c r="AC119" s="52"/>
      <c r="AD119" s="34">
        <f t="shared" si="51"/>
        <v>163102.29</v>
      </c>
      <c r="AE119" s="52">
        <f t="shared" si="52"/>
        <v>153897.71</v>
      </c>
      <c r="AF119" s="132">
        <f t="shared" si="30"/>
        <v>51.45182649842271</v>
      </c>
    </row>
    <row r="120" spans="2:32" s="42" customFormat="1" ht="16.5" customHeight="1">
      <c r="B120" s="129"/>
      <c r="C120" s="30"/>
      <c r="D120" s="30">
        <v>4120</v>
      </c>
      <c r="E120" s="32" t="s">
        <v>495</v>
      </c>
      <c r="F120" s="52">
        <v>46200</v>
      </c>
      <c r="G120" s="51">
        <v>45950</v>
      </c>
      <c r="H120" s="52">
        <v>43200</v>
      </c>
      <c r="I120" s="52">
        <v>43200</v>
      </c>
      <c r="J120" s="289"/>
      <c r="K120" s="53"/>
      <c r="L120" s="53"/>
      <c r="M120" s="53"/>
      <c r="N120" s="53"/>
      <c r="O120" s="53"/>
      <c r="P120" s="53"/>
      <c r="Q120" s="131">
        <f t="shared" si="50"/>
        <v>43200</v>
      </c>
      <c r="R120" s="52">
        <v>3164.2</v>
      </c>
      <c r="S120" s="52">
        <v>3298.17</v>
      </c>
      <c r="T120" s="52">
        <v>3267.07</v>
      </c>
      <c r="U120" s="52">
        <v>6449.04</v>
      </c>
      <c r="V120" s="52">
        <v>3325.09</v>
      </c>
      <c r="W120" s="52">
        <v>3350.78</v>
      </c>
      <c r="X120" s="52"/>
      <c r="Y120" s="52"/>
      <c r="Z120" s="52"/>
      <c r="AA120" s="52"/>
      <c r="AB120" s="52"/>
      <c r="AC120" s="52"/>
      <c r="AD120" s="34">
        <f t="shared" si="51"/>
        <v>22854.35</v>
      </c>
      <c r="AE120" s="52">
        <f t="shared" si="52"/>
        <v>20345.65</v>
      </c>
      <c r="AF120" s="132">
        <f t="shared" si="30"/>
        <v>52.903587962962966</v>
      </c>
    </row>
    <row r="121" spans="2:32" s="42" customFormat="1" ht="27.75" customHeight="1">
      <c r="B121" s="129"/>
      <c r="C121" s="30"/>
      <c r="D121" s="30">
        <v>4210</v>
      </c>
      <c r="E121" s="32" t="s">
        <v>469</v>
      </c>
      <c r="F121" s="52">
        <v>191700</v>
      </c>
      <c r="G121" s="51">
        <v>183900</v>
      </c>
      <c r="H121" s="52">
        <v>183900</v>
      </c>
      <c r="I121" s="52">
        <v>183900</v>
      </c>
      <c r="J121" s="289" t="s">
        <v>228</v>
      </c>
      <c r="K121" s="53"/>
      <c r="L121" s="53"/>
      <c r="M121" s="53"/>
      <c r="N121" s="53">
        <v>3000</v>
      </c>
      <c r="O121" s="53"/>
      <c r="P121" s="53"/>
      <c r="Q121" s="131">
        <f t="shared" si="50"/>
        <v>186900</v>
      </c>
      <c r="R121" s="52">
        <v>19824.25</v>
      </c>
      <c r="S121" s="52">
        <v>26277.53</v>
      </c>
      <c r="T121" s="52">
        <v>15071.88</v>
      </c>
      <c r="U121" s="52">
        <v>26785.4</v>
      </c>
      <c r="V121" s="52">
        <v>4524.46</v>
      </c>
      <c r="W121" s="52">
        <v>4526.1</v>
      </c>
      <c r="X121" s="52"/>
      <c r="Y121" s="52"/>
      <c r="Z121" s="52"/>
      <c r="AA121" s="52"/>
      <c r="AB121" s="52"/>
      <c r="AC121" s="52"/>
      <c r="AD121" s="34">
        <f t="shared" si="51"/>
        <v>97009.62000000001</v>
      </c>
      <c r="AE121" s="52">
        <f t="shared" si="52"/>
        <v>89890.37999999999</v>
      </c>
      <c r="AF121" s="132">
        <f t="shared" si="30"/>
        <v>51.90455858747995</v>
      </c>
    </row>
    <row r="122" spans="2:32" s="42" customFormat="1" ht="25.5">
      <c r="B122" s="129"/>
      <c r="C122" s="30"/>
      <c r="D122" s="30">
        <v>4240</v>
      </c>
      <c r="E122" s="32" t="s">
        <v>536</v>
      </c>
      <c r="F122" s="52">
        <v>5409</v>
      </c>
      <c r="G122" s="51">
        <v>5600</v>
      </c>
      <c r="H122" s="52">
        <v>5600</v>
      </c>
      <c r="I122" s="52">
        <v>5600</v>
      </c>
      <c r="J122" s="289" t="s">
        <v>650</v>
      </c>
      <c r="K122" s="53"/>
      <c r="L122" s="53"/>
      <c r="M122" s="53">
        <v>400</v>
      </c>
      <c r="N122" s="53"/>
      <c r="O122" s="53"/>
      <c r="P122" s="53"/>
      <c r="Q122" s="131">
        <f t="shared" si="50"/>
        <v>6000</v>
      </c>
      <c r="R122" s="52">
        <v>55.2</v>
      </c>
      <c r="S122" s="52">
        <v>754.1</v>
      </c>
      <c r="T122" s="52">
        <v>691.97</v>
      </c>
      <c r="U122" s="52">
        <v>408</v>
      </c>
      <c r="V122" s="52">
        <v>264</v>
      </c>
      <c r="W122" s="52">
        <v>325.61</v>
      </c>
      <c r="X122" s="52"/>
      <c r="Y122" s="52"/>
      <c r="Z122" s="52"/>
      <c r="AA122" s="52"/>
      <c r="AB122" s="52"/>
      <c r="AC122" s="52"/>
      <c r="AD122" s="34">
        <f t="shared" si="51"/>
        <v>2498.88</v>
      </c>
      <c r="AE122" s="52">
        <f t="shared" si="52"/>
        <v>3501.12</v>
      </c>
      <c r="AF122" s="132">
        <f t="shared" si="30"/>
        <v>41.648</v>
      </c>
    </row>
    <row r="123" spans="2:32" s="42" customFormat="1" ht="25.5">
      <c r="B123" s="129"/>
      <c r="C123" s="30"/>
      <c r="D123" s="30">
        <v>4260</v>
      </c>
      <c r="E123" s="32" t="s">
        <v>496</v>
      </c>
      <c r="F123" s="52">
        <v>132679</v>
      </c>
      <c r="G123" s="51">
        <v>130300</v>
      </c>
      <c r="H123" s="52">
        <v>130300</v>
      </c>
      <c r="I123" s="52">
        <v>130300</v>
      </c>
      <c r="J123" s="289" t="s">
        <v>229</v>
      </c>
      <c r="K123" s="53"/>
      <c r="L123" s="53"/>
      <c r="M123" s="53"/>
      <c r="N123" s="53"/>
      <c r="O123" s="53"/>
      <c r="P123" s="53"/>
      <c r="Q123" s="131">
        <f t="shared" si="50"/>
        <v>130300</v>
      </c>
      <c r="R123" s="52">
        <v>20294.56</v>
      </c>
      <c r="S123" s="52">
        <v>27185.91</v>
      </c>
      <c r="T123" s="52">
        <v>21973.55</v>
      </c>
      <c r="U123" s="52">
        <v>22265.22</v>
      </c>
      <c r="V123" s="52">
        <v>8668.9</v>
      </c>
      <c r="W123" s="52">
        <v>9342.68</v>
      </c>
      <c r="X123" s="52"/>
      <c r="Y123" s="52"/>
      <c r="Z123" s="52"/>
      <c r="AA123" s="52"/>
      <c r="AB123" s="52"/>
      <c r="AC123" s="52"/>
      <c r="AD123" s="34">
        <f t="shared" si="51"/>
        <v>109730.82</v>
      </c>
      <c r="AE123" s="52">
        <f t="shared" si="52"/>
        <v>20569.179999999993</v>
      </c>
      <c r="AF123" s="132">
        <f t="shared" si="30"/>
        <v>84.21398311588642</v>
      </c>
    </row>
    <row r="124" spans="2:32" s="42" customFormat="1" ht="12.75">
      <c r="B124" s="129"/>
      <c r="C124" s="30"/>
      <c r="D124" s="30">
        <v>4270</v>
      </c>
      <c r="E124" s="32" t="s">
        <v>470</v>
      </c>
      <c r="F124" s="52">
        <v>6500</v>
      </c>
      <c r="G124" s="51">
        <v>14500</v>
      </c>
      <c r="H124" s="52">
        <v>14500</v>
      </c>
      <c r="I124" s="52">
        <v>14500</v>
      </c>
      <c r="J124" s="289" t="s">
        <v>230</v>
      </c>
      <c r="K124" s="53"/>
      <c r="L124" s="53"/>
      <c r="M124" s="53"/>
      <c r="N124" s="53"/>
      <c r="O124" s="53"/>
      <c r="P124" s="53"/>
      <c r="Q124" s="131">
        <f t="shared" si="50"/>
        <v>14500</v>
      </c>
      <c r="R124" s="52">
        <v>122</v>
      </c>
      <c r="S124" s="52">
        <v>1628.7</v>
      </c>
      <c r="T124" s="52">
        <v>622.4</v>
      </c>
      <c r="U124" s="52"/>
      <c r="V124" s="52"/>
      <c r="W124" s="52"/>
      <c r="X124" s="52"/>
      <c r="Y124" s="52"/>
      <c r="Z124" s="52"/>
      <c r="AA124" s="52"/>
      <c r="AB124" s="52"/>
      <c r="AC124" s="52"/>
      <c r="AD124" s="34">
        <f t="shared" si="51"/>
        <v>2373.1</v>
      </c>
      <c r="AE124" s="52">
        <f t="shared" si="52"/>
        <v>12126.9</v>
      </c>
      <c r="AF124" s="132">
        <f t="shared" si="30"/>
        <v>16.366206896551724</v>
      </c>
    </row>
    <row r="125" spans="2:32" s="42" customFormat="1" ht="18.75" customHeight="1">
      <c r="B125" s="129"/>
      <c r="C125" s="30"/>
      <c r="D125" s="30">
        <v>4300</v>
      </c>
      <c r="E125" s="32" t="s">
        <v>471</v>
      </c>
      <c r="F125" s="52">
        <v>72000</v>
      </c>
      <c r="G125" s="51">
        <v>60000</v>
      </c>
      <c r="H125" s="52">
        <v>60000</v>
      </c>
      <c r="I125" s="52">
        <v>60000</v>
      </c>
      <c r="J125" s="289" t="s">
        <v>377</v>
      </c>
      <c r="K125" s="53"/>
      <c r="L125" s="53"/>
      <c r="M125" s="53"/>
      <c r="N125" s="53"/>
      <c r="O125" s="53"/>
      <c r="P125" s="53"/>
      <c r="Q125" s="131">
        <f t="shared" si="50"/>
        <v>60000</v>
      </c>
      <c r="R125" s="52">
        <v>5078.18</v>
      </c>
      <c r="S125" s="52">
        <v>7079.52</v>
      </c>
      <c r="T125" s="52">
        <v>7664.3</v>
      </c>
      <c r="U125" s="52">
        <v>4832.21</v>
      </c>
      <c r="V125" s="52">
        <v>5409.59</v>
      </c>
      <c r="W125" s="52">
        <v>4840.19</v>
      </c>
      <c r="X125" s="52"/>
      <c r="Y125" s="52"/>
      <c r="Z125" s="52"/>
      <c r="AA125" s="52"/>
      <c r="AB125" s="52"/>
      <c r="AC125" s="52"/>
      <c r="AD125" s="34">
        <f t="shared" si="51"/>
        <v>34903.99</v>
      </c>
      <c r="AE125" s="52">
        <f t="shared" si="52"/>
        <v>25096.010000000002</v>
      </c>
      <c r="AF125" s="132">
        <f t="shared" si="30"/>
        <v>58.173316666666665</v>
      </c>
    </row>
    <row r="126" spans="2:32" s="42" customFormat="1" ht="25.5">
      <c r="B126" s="129"/>
      <c r="C126" s="30"/>
      <c r="D126" s="30">
        <v>4350</v>
      </c>
      <c r="E126" s="32" t="s">
        <v>584</v>
      </c>
      <c r="F126" s="52">
        <v>0</v>
      </c>
      <c r="G126" s="51">
        <v>5450</v>
      </c>
      <c r="H126" s="52">
        <v>5450</v>
      </c>
      <c r="I126" s="52">
        <v>5450</v>
      </c>
      <c r="J126" s="289" t="s">
        <v>231</v>
      </c>
      <c r="K126" s="53"/>
      <c r="L126" s="53"/>
      <c r="M126" s="53"/>
      <c r="N126" s="53"/>
      <c r="O126" s="53"/>
      <c r="P126" s="53"/>
      <c r="Q126" s="131">
        <f t="shared" si="50"/>
        <v>5450</v>
      </c>
      <c r="R126" s="52">
        <v>395.68</v>
      </c>
      <c r="S126" s="52">
        <v>350.2</v>
      </c>
      <c r="T126" s="52">
        <v>156.65</v>
      </c>
      <c r="U126" s="52">
        <v>398.79</v>
      </c>
      <c r="V126" s="52">
        <v>348.91</v>
      </c>
      <c r="W126" s="52">
        <v>176.55</v>
      </c>
      <c r="X126" s="52"/>
      <c r="Y126" s="52"/>
      <c r="Z126" s="52"/>
      <c r="AA126" s="52"/>
      <c r="AB126" s="52"/>
      <c r="AC126" s="52"/>
      <c r="AD126" s="34">
        <f t="shared" si="51"/>
        <v>1826.78</v>
      </c>
      <c r="AE126" s="52">
        <f t="shared" si="52"/>
        <v>3623.2200000000003</v>
      </c>
      <c r="AF126" s="132">
        <f t="shared" si="30"/>
        <v>33.51889908256881</v>
      </c>
    </row>
    <row r="127" spans="2:32" s="42" customFormat="1" ht="15" customHeight="1">
      <c r="B127" s="129"/>
      <c r="C127" s="30"/>
      <c r="D127" s="30">
        <v>4410</v>
      </c>
      <c r="E127" s="32" t="s">
        <v>491</v>
      </c>
      <c r="F127" s="52">
        <v>5618</v>
      </c>
      <c r="G127" s="51">
        <v>5500</v>
      </c>
      <c r="H127" s="52">
        <v>5500</v>
      </c>
      <c r="I127" s="52">
        <v>5500</v>
      </c>
      <c r="J127" s="289" t="s">
        <v>378</v>
      </c>
      <c r="K127" s="53"/>
      <c r="L127" s="53"/>
      <c r="M127" s="53"/>
      <c r="N127" s="53"/>
      <c r="O127" s="53"/>
      <c r="P127" s="53"/>
      <c r="Q127" s="131">
        <f t="shared" si="50"/>
        <v>5500</v>
      </c>
      <c r="R127" s="52">
        <v>54.92</v>
      </c>
      <c r="S127" s="52">
        <v>216.56</v>
      </c>
      <c r="T127" s="52">
        <v>573.14</v>
      </c>
      <c r="U127" s="52">
        <v>85.32</v>
      </c>
      <c r="V127" s="52">
        <v>605.08</v>
      </c>
      <c r="W127" s="52">
        <v>393.52</v>
      </c>
      <c r="X127" s="52"/>
      <c r="Y127" s="52"/>
      <c r="Z127" s="52"/>
      <c r="AA127" s="52"/>
      <c r="AB127" s="52"/>
      <c r="AC127" s="52"/>
      <c r="AD127" s="34">
        <f t="shared" si="51"/>
        <v>1928.54</v>
      </c>
      <c r="AE127" s="52">
        <f t="shared" si="52"/>
        <v>3571.46</v>
      </c>
      <c r="AF127" s="132">
        <f t="shared" si="30"/>
        <v>35.06436363636364</v>
      </c>
    </row>
    <row r="128" spans="2:32" s="42" customFormat="1" ht="15" customHeight="1">
      <c r="B128" s="129"/>
      <c r="C128" s="30"/>
      <c r="D128" s="30">
        <v>4430</v>
      </c>
      <c r="E128" s="32" t="s">
        <v>232</v>
      </c>
      <c r="F128" s="52">
        <v>0</v>
      </c>
      <c r="G128" s="51">
        <v>3300</v>
      </c>
      <c r="H128" s="52">
        <v>3300</v>
      </c>
      <c r="I128" s="52">
        <v>3300</v>
      </c>
      <c r="J128" s="289" t="s">
        <v>233</v>
      </c>
      <c r="K128" s="53"/>
      <c r="L128" s="53"/>
      <c r="M128" s="53">
        <v>200</v>
      </c>
      <c r="N128" s="53"/>
      <c r="O128" s="53"/>
      <c r="P128" s="53"/>
      <c r="Q128" s="131">
        <f t="shared" si="50"/>
        <v>3500</v>
      </c>
      <c r="R128" s="52"/>
      <c r="S128" s="52">
        <v>1614.2</v>
      </c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34">
        <f t="shared" si="51"/>
        <v>1614.2</v>
      </c>
      <c r="AE128" s="52">
        <f t="shared" si="52"/>
        <v>1885.8</v>
      </c>
      <c r="AF128" s="132">
        <f t="shared" si="30"/>
        <v>46.12</v>
      </c>
    </row>
    <row r="129" spans="2:32" s="42" customFormat="1" ht="30.75" customHeight="1">
      <c r="B129" s="129"/>
      <c r="C129" s="30"/>
      <c r="D129" s="30">
        <v>4440</v>
      </c>
      <c r="E129" s="32" t="s">
        <v>498</v>
      </c>
      <c r="F129" s="52">
        <v>94870</v>
      </c>
      <c r="G129" s="51">
        <v>98130</v>
      </c>
      <c r="H129" s="52">
        <v>98130</v>
      </c>
      <c r="I129" s="52">
        <v>98130</v>
      </c>
      <c r="J129" s="289" t="s">
        <v>379</v>
      </c>
      <c r="K129" s="53"/>
      <c r="L129" s="53"/>
      <c r="M129" s="53"/>
      <c r="N129" s="53"/>
      <c r="O129" s="53"/>
      <c r="P129" s="53"/>
      <c r="Q129" s="131">
        <f t="shared" si="50"/>
        <v>98130</v>
      </c>
      <c r="R129" s="52"/>
      <c r="S129" s="52"/>
      <c r="T129" s="52"/>
      <c r="U129" s="52">
        <v>6300</v>
      </c>
      <c r="V129" s="52">
        <v>67297.5</v>
      </c>
      <c r="W129" s="52"/>
      <c r="X129" s="52"/>
      <c r="Y129" s="52"/>
      <c r="Z129" s="52"/>
      <c r="AA129" s="52"/>
      <c r="AB129" s="52"/>
      <c r="AC129" s="52"/>
      <c r="AD129" s="34">
        <f t="shared" si="51"/>
        <v>73597.5</v>
      </c>
      <c r="AE129" s="52">
        <f t="shared" si="52"/>
        <v>24532.5</v>
      </c>
      <c r="AF129" s="132">
        <f t="shared" si="30"/>
        <v>75</v>
      </c>
    </row>
    <row r="130" spans="2:32" s="42" customFormat="1" ht="30" customHeight="1">
      <c r="B130" s="129"/>
      <c r="C130" s="43">
        <v>80103</v>
      </c>
      <c r="D130" s="43"/>
      <c r="E130" s="45" t="s">
        <v>234</v>
      </c>
      <c r="F130" s="48">
        <f>SUM(F131:F142)</f>
        <v>0</v>
      </c>
      <c r="G130" s="46">
        <f>SUM(G131:G142)</f>
        <v>285440</v>
      </c>
      <c r="H130" s="48">
        <f>SUM(H131:H142)</f>
        <v>285440</v>
      </c>
      <c r="I130" s="48">
        <f>SUM(I131:I142)</f>
        <v>285440</v>
      </c>
      <c r="J130" s="289"/>
      <c r="K130" s="49">
        <f aca="true" t="shared" si="53" ref="K130:Z130">SUM(K131:K142)</f>
        <v>0</v>
      </c>
      <c r="L130" s="49">
        <f t="shared" si="53"/>
        <v>0</v>
      </c>
      <c r="M130" s="49">
        <f t="shared" si="53"/>
        <v>0</v>
      </c>
      <c r="N130" s="49">
        <f t="shared" si="53"/>
        <v>0</v>
      </c>
      <c r="O130" s="49">
        <f t="shared" si="53"/>
        <v>0</v>
      </c>
      <c r="P130" s="49">
        <f t="shared" si="53"/>
        <v>0</v>
      </c>
      <c r="Q130" s="40">
        <f t="shared" si="53"/>
        <v>285440</v>
      </c>
      <c r="R130" s="48">
        <f t="shared" si="53"/>
        <v>21521.15</v>
      </c>
      <c r="S130" s="48">
        <f t="shared" si="53"/>
        <v>16884.719999999998</v>
      </c>
      <c r="T130" s="48">
        <f t="shared" si="53"/>
        <v>25126.35</v>
      </c>
      <c r="U130" s="48">
        <f t="shared" si="53"/>
        <v>30607.999999999993</v>
      </c>
      <c r="V130" s="48">
        <f t="shared" si="53"/>
        <v>19790.379999999997</v>
      </c>
      <c r="W130" s="48">
        <f t="shared" si="53"/>
        <v>17497.26</v>
      </c>
      <c r="X130" s="48">
        <f t="shared" si="53"/>
        <v>0</v>
      </c>
      <c r="Y130" s="48">
        <f t="shared" si="53"/>
        <v>0</v>
      </c>
      <c r="Z130" s="48">
        <f t="shared" si="53"/>
        <v>0</v>
      </c>
      <c r="AA130" s="48">
        <f>SUM(AA131:AA142)</f>
        <v>0</v>
      </c>
      <c r="AB130" s="48">
        <f>SUM(AB131:AB142)</f>
        <v>0</v>
      </c>
      <c r="AC130" s="48">
        <f>SUM(AC131:AC142)</f>
        <v>0</v>
      </c>
      <c r="AD130" s="48">
        <f>SUM(AD131:AD142)</f>
        <v>131427.86000000002</v>
      </c>
      <c r="AE130" s="48">
        <f>SUM(AE131:AE142)</f>
        <v>154012.14</v>
      </c>
      <c r="AF130" s="130">
        <f t="shared" si="30"/>
        <v>46.043953195067274</v>
      </c>
    </row>
    <row r="131" spans="2:32" s="42" customFormat="1" ht="28.5" customHeight="1">
      <c r="B131" s="129"/>
      <c r="C131" s="30"/>
      <c r="D131" s="30">
        <v>3020</v>
      </c>
      <c r="E131" s="32" t="s">
        <v>493</v>
      </c>
      <c r="F131" s="52">
        <v>0</v>
      </c>
      <c r="G131" s="51">
        <v>7000</v>
      </c>
      <c r="H131" s="52">
        <v>7000</v>
      </c>
      <c r="I131" s="52">
        <v>7000</v>
      </c>
      <c r="J131" s="289" t="s">
        <v>226</v>
      </c>
      <c r="K131" s="53"/>
      <c r="L131" s="53"/>
      <c r="M131" s="53"/>
      <c r="N131" s="53"/>
      <c r="O131" s="53"/>
      <c r="P131" s="53"/>
      <c r="Q131" s="131">
        <f t="shared" si="50"/>
        <v>7000</v>
      </c>
      <c r="R131" s="52">
        <v>732.18</v>
      </c>
      <c r="S131" s="52">
        <v>638.01</v>
      </c>
      <c r="T131" s="52">
        <v>637.98</v>
      </c>
      <c r="U131" s="52">
        <v>654.79</v>
      </c>
      <c r="V131" s="52">
        <v>654.41</v>
      </c>
      <c r="W131" s="52">
        <v>644.99</v>
      </c>
      <c r="X131" s="52"/>
      <c r="Y131" s="52"/>
      <c r="Z131" s="52"/>
      <c r="AA131" s="52"/>
      <c r="AB131" s="52"/>
      <c r="AC131" s="52"/>
      <c r="AD131" s="34">
        <f aca="true" t="shared" si="54" ref="AD131:AD142">SUM(R131:AC131)</f>
        <v>3962.3599999999997</v>
      </c>
      <c r="AE131" s="52">
        <f aca="true" t="shared" si="55" ref="AE131:AE142">Q131-AD131</f>
        <v>3037.6400000000003</v>
      </c>
      <c r="AF131" s="132">
        <f t="shared" si="30"/>
        <v>56.60514285714285</v>
      </c>
    </row>
    <row r="132" spans="2:32" s="42" customFormat="1" ht="28.5" customHeight="1">
      <c r="B132" s="129"/>
      <c r="C132" s="30"/>
      <c r="D132" s="30">
        <v>4010</v>
      </c>
      <c r="E132" s="32" t="s">
        <v>487</v>
      </c>
      <c r="F132" s="52">
        <v>0</v>
      </c>
      <c r="G132" s="51">
        <v>189700</v>
      </c>
      <c r="H132" s="52">
        <v>189700</v>
      </c>
      <c r="I132" s="52">
        <v>189700</v>
      </c>
      <c r="J132" s="289" t="s">
        <v>227</v>
      </c>
      <c r="K132" s="53"/>
      <c r="L132" s="53"/>
      <c r="M132" s="53">
        <v>600</v>
      </c>
      <c r="N132" s="51">
        <v>-3300</v>
      </c>
      <c r="O132" s="53"/>
      <c r="P132" s="53"/>
      <c r="Q132" s="131">
        <f t="shared" si="50"/>
        <v>187000</v>
      </c>
      <c r="R132" s="52">
        <v>11062.65</v>
      </c>
      <c r="S132" s="52">
        <v>10892.24</v>
      </c>
      <c r="T132" s="52">
        <v>12798.72</v>
      </c>
      <c r="U132" s="52">
        <v>17998.87</v>
      </c>
      <c r="V132" s="52">
        <v>9022.96</v>
      </c>
      <c r="W132" s="52">
        <v>12893.77</v>
      </c>
      <c r="X132" s="52"/>
      <c r="Y132" s="52"/>
      <c r="Z132" s="52"/>
      <c r="AA132" s="52"/>
      <c r="AB132" s="52"/>
      <c r="AC132" s="52"/>
      <c r="AD132" s="34">
        <f t="shared" si="54"/>
        <v>74669.20999999999</v>
      </c>
      <c r="AE132" s="52">
        <f t="shared" si="55"/>
        <v>112330.79000000001</v>
      </c>
      <c r="AF132" s="132">
        <f t="shared" si="30"/>
        <v>39.93005882352941</v>
      </c>
    </row>
    <row r="133" spans="2:32" s="42" customFormat="1" ht="25.5">
      <c r="B133" s="129"/>
      <c r="C133" s="30"/>
      <c r="D133" s="30">
        <v>4040</v>
      </c>
      <c r="E133" s="32" t="s">
        <v>494</v>
      </c>
      <c r="F133" s="52">
        <v>0</v>
      </c>
      <c r="G133" s="51">
        <v>15110</v>
      </c>
      <c r="H133" s="52">
        <v>15110</v>
      </c>
      <c r="I133" s="52">
        <v>15110</v>
      </c>
      <c r="J133" s="289"/>
      <c r="K133" s="53"/>
      <c r="L133" s="53"/>
      <c r="M133" s="51">
        <v>-2459</v>
      </c>
      <c r="N133" s="53"/>
      <c r="O133" s="53"/>
      <c r="P133" s="53"/>
      <c r="Q133" s="131">
        <f t="shared" si="50"/>
        <v>12651</v>
      </c>
      <c r="R133" s="52"/>
      <c r="S133" s="52"/>
      <c r="T133" s="52">
        <v>8221.89</v>
      </c>
      <c r="U133" s="52">
        <v>4428.28</v>
      </c>
      <c r="V133" s="52"/>
      <c r="W133" s="52"/>
      <c r="X133" s="52"/>
      <c r="Y133" s="52"/>
      <c r="Z133" s="52"/>
      <c r="AA133" s="52"/>
      <c r="AB133" s="52"/>
      <c r="AC133" s="52"/>
      <c r="AD133" s="34">
        <f t="shared" si="54"/>
        <v>12650.169999999998</v>
      </c>
      <c r="AE133" s="52">
        <f t="shared" si="55"/>
        <v>0.8300000000017462</v>
      </c>
      <c r="AF133" s="132">
        <f t="shared" si="30"/>
        <v>99.9934392538139</v>
      </c>
    </row>
    <row r="134" spans="2:32" s="42" customFormat="1" ht="25.5">
      <c r="B134" s="129"/>
      <c r="C134" s="30"/>
      <c r="D134" s="30">
        <v>4110</v>
      </c>
      <c r="E134" s="32" t="s">
        <v>488</v>
      </c>
      <c r="F134" s="52">
        <v>0</v>
      </c>
      <c r="G134" s="51">
        <v>31850</v>
      </c>
      <c r="H134" s="52">
        <v>31850</v>
      </c>
      <c r="I134" s="52">
        <v>31850</v>
      </c>
      <c r="J134" s="289"/>
      <c r="K134" s="53"/>
      <c r="L134" s="53"/>
      <c r="M134" s="53">
        <v>1200</v>
      </c>
      <c r="N134" s="53">
        <v>1800</v>
      </c>
      <c r="O134" s="53"/>
      <c r="P134" s="53"/>
      <c r="Q134" s="131">
        <f t="shared" si="50"/>
        <v>34850</v>
      </c>
      <c r="R134" s="52">
        <v>2066.19</v>
      </c>
      <c r="S134" s="52">
        <v>2643.94</v>
      </c>
      <c r="T134" s="52">
        <v>1453.06</v>
      </c>
      <c r="U134" s="52">
        <v>4950.01</v>
      </c>
      <c r="V134" s="52">
        <v>2033.06</v>
      </c>
      <c r="W134" s="52">
        <v>2785.51</v>
      </c>
      <c r="X134" s="52"/>
      <c r="Y134" s="52"/>
      <c r="Z134" s="52"/>
      <c r="AA134" s="52"/>
      <c r="AB134" s="52"/>
      <c r="AC134" s="52"/>
      <c r="AD134" s="34">
        <f t="shared" si="54"/>
        <v>15931.77</v>
      </c>
      <c r="AE134" s="52">
        <f t="shared" si="55"/>
        <v>18918.23</v>
      </c>
      <c r="AF134" s="132">
        <f t="shared" si="30"/>
        <v>45.71526542324247</v>
      </c>
    </row>
    <row r="135" spans="2:32" s="42" customFormat="1" ht="15" customHeight="1">
      <c r="B135" s="129"/>
      <c r="C135" s="30"/>
      <c r="D135" s="30">
        <v>4120</v>
      </c>
      <c r="E135" s="32" t="s">
        <v>495</v>
      </c>
      <c r="F135" s="52">
        <v>0</v>
      </c>
      <c r="G135" s="51">
        <v>4340</v>
      </c>
      <c r="H135" s="52">
        <v>4340</v>
      </c>
      <c r="I135" s="52">
        <v>4340</v>
      </c>
      <c r="J135" s="289"/>
      <c r="K135" s="53"/>
      <c r="L135" s="53"/>
      <c r="M135" s="53">
        <v>459</v>
      </c>
      <c r="N135" s="53"/>
      <c r="O135" s="53"/>
      <c r="P135" s="53"/>
      <c r="Q135" s="131">
        <f t="shared" si="50"/>
        <v>4799</v>
      </c>
      <c r="R135" s="52">
        <v>281.46</v>
      </c>
      <c r="S135" s="52">
        <v>259.96</v>
      </c>
      <c r="T135" s="52">
        <v>283.69</v>
      </c>
      <c r="U135" s="52">
        <v>653.67</v>
      </c>
      <c r="V135" s="52">
        <v>311.52</v>
      </c>
      <c r="W135" s="52">
        <v>300.8</v>
      </c>
      <c r="X135" s="52"/>
      <c r="Y135" s="52"/>
      <c r="Z135" s="52"/>
      <c r="AA135" s="52"/>
      <c r="AB135" s="52"/>
      <c r="AC135" s="52"/>
      <c r="AD135" s="34">
        <f t="shared" si="54"/>
        <v>2091.1</v>
      </c>
      <c r="AE135" s="52">
        <f t="shared" si="55"/>
        <v>2707.9</v>
      </c>
      <c r="AF135" s="132">
        <f aca="true" t="shared" si="56" ref="AF135:AF198">AD135*100/Q135</f>
        <v>43.573661179412376</v>
      </c>
    </row>
    <row r="136" spans="2:32" s="42" customFormat="1" ht="27.75" customHeight="1">
      <c r="B136" s="129"/>
      <c r="C136" s="30"/>
      <c r="D136" s="30">
        <v>4210</v>
      </c>
      <c r="E136" s="32" t="s">
        <v>469</v>
      </c>
      <c r="F136" s="52">
        <v>0</v>
      </c>
      <c r="G136" s="51">
        <v>7000</v>
      </c>
      <c r="H136" s="52">
        <v>7000</v>
      </c>
      <c r="I136" s="52">
        <v>7000</v>
      </c>
      <c r="J136" s="289" t="s">
        <v>235</v>
      </c>
      <c r="K136" s="53"/>
      <c r="L136" s="53"/>
      <c r="M136" s="53"/>
      <c r="N136" s="53">
        <v>1000</v>
      </c>
      <c r="O136" s="53"/>
      <c r="P136" s="53"/>
      <c r="Q136" s="131">
        <f t="shared" si="50"/>
        <v>8000</v>
      </c>
      <c r="R136" s="52">
        <v>3857.77</v>
      </c>
      <c r="S136" s="52">
        <v>350.26</v>
      </c>
      <c r="T136" s="52">
        <v>519.55</v>
      </c>
      <c r="U136" s="52">
        <v>200.01</v>
      </c>
      <c r="V136" s="52">
        <v>486.81</v>
      </c>
      <c r="W136" s="52">
        <v>49.41</v>
      </c>
      <c r="X136" s="52"/>
      <c r="Y136" s="52"/>
      <c r="Z136" s="52"/>
      <c r="AA136" s="52"/>
      <c r="AB136" s="52"/>
      <c r="AC136" s="52"/>
      <c r="AD136" s="34">
        <f t="shared" si="54"/>
        <v>5463.81</v>
      </c>
      <c r="AE136" s="52">
        <f t="shared" si="55"/>
        <v>2536.1899999999996</v>
      </c>
      <c r="AF136" s="132">
        <f t="shared" si="56"/>
        <v>68.297625</v>
      </c>
    </row>
    <row r="137" spans="2:32" s="42" customFormat="1" ht="28.5" customHeight="1">
      <c r="B137" s="129"/>
      <c r="C137" s="30"/>
      <c r="D137" s="30">
        <v>4240</v>
      </c>
      <c r="E137" s="32" t="s">
        <v>536</v>
      </c>
      <c r="F137" s="52">
        <v>0</v>
      </c>
      <c r="G137" s="51">
        <v>1800</v>
      </c>
      <c r="H137" s="52">
        <v>1800</v>
      </c>
      <c r="I137" s="52">
        <v>1800</v>
      </c>
      <c r="J137" s="289" t="s">
        <v>381</v>
      </c>
      <c r="K137" s="53"/>
      <c r="L137" s="53"/>
      <c r="M137" s="53">
        <v>200</v>
      </c>
      <c r="N137" s="53">
        <v>500</v>
      </c>
      <c r="O137" s="53"/>
      <c r="P137" s="53"/>
      <c r="Q137" s="131">
        <f t="shared" si="50"/>
        <v>2500</v>
      </c>
      <c r="R137" s="52"/>
      <c r="S137" s="52"/>
      <c r="T137" s="52">
        <v>495.58</v>
      </c>
      <c r="U137" s="52"/>
      <c r="V137" s="52">
        <v>136.8</v>
      </c>
      <c r="W137" s="52">
        <v>42</v>
      </c>
      <c r="X137" s="52"/>
      <c r="Y137" s="52"/>
      <c r="Z137" s="52"/>
      <c r="AA137" s="52"/>
      <c r="AB137" s="52"/>
      <c r="AC137" s="52"/>
      <c r="AD137" s="34">
        <f t="shared" si="54"/>
        <v>674.38</v>
      </c>
      <c r="AE137" s="52">
        <f t="shared" si="55"/>
        <v>1825.62</v>
      </c>
      <c r="AF137" s="132">
        <f t="shared" si="56"/>
        <v>26.9752</v>
      </c>
    </row>
    <row r="138" spans="2:32" s="42" customFormat="1" ht="16.5" customHeight="1">
      <c r="B138" s="129"/>
      <c r="C138" s="30"/>
      <c r="D138" s="30">
        <v>4260</v>
      </c>
      <c r="E138" s="32" t="s">
        <v>496</v>
      </c>
      <c r="F138" s="52">
        <v>0</v>
      </c>
      <c r="G138" s="51">
        <v>9000</v>
      </c>
      <c r="H138" s="52">
        <v>9000</v>
      </c>
      <c r="I138" s="52">
        <v>9000</v>
      </c>
      <c r="J138" s="289" t="s">
        <v>236</v>
      </c>
      <c r="K138" s="53"/>
      <c r="L138" s="53"/>
      <c r="M138" s="53"/>
      <c r="N138" s="53"/>
      <c r="O138" s="53"/>
      <c r="P138" s="53"/>
      <c r="Q138" s="131">
        <f t="shared" si="50"/>
        <v>9000</v>
      </c>
      <c r="R138" s="52">
        <v>216.95</v>
      </c>
      <c r="S138" s="52">
        <v>1366.76</v>
      </c>
      <c r="T138" s="52">
        <v>315.97</v>
      </c>
      <c r="U138" s="52">
        <v>1200.93</v>
      </c>
      <c r="V138" s="52">
        <v>493.99</v>
      </c>
      <c r="W138" s="52">
        <v>273.11</v>
      </c>
      <c r="X138" s="52"/>
      <c r="Y138" s="52"/>
      <c r="Z138" s="52"/>
      <c r="AA138" s="52"/>
      <c r="AB138" s="52"/>
      <c r="AC138" s="52"/>
      <c r="AD138" s="34">
        <f t="shared" si="54"/>
        <v>3867.7100000000005</v>
      </c>
      <c r="AE138" s="52">
        <f t="shared" si="55"/>
        <v>5132.289999999999</v>
      </c>
      <c r="AF138" s="132">
        <f t="shared" si="56"/>
        <v>42.97455555555556</v>
      </c>
    </row>
    <row r="139" spans="2:32" s="42" customFormat="1" ht="19.5" customHeight="1">
      <c r="B139" s="129"/>
      <c r="C139" s="30"/>
      <c r="D139" s="30">
        <v>4270</v>
      </c>
      <c r="E139" s="32" t="s">
        <v>470</v>
      </c>
      <c r="F139" s="52">
        <v>0</v>
      </c>
      <c r="G139" s="51">
        <v>1000</v>
      </c>
      <c r="H139" s="52">
        <v>1000</v>
      </c>
      <c r="I139" s="52">
        <v>1000</v>
      </c>
      <c r="J139" s="289" t="s">
        <v>237</v>
      </c>
      <c r="K139" s="53"/>
      <c r="L139" s="53"/>
      <c r="M139" s="53"/>
      <c r="N139" s="53"/>
      <c r="O139" s="53"/>
      <c r="P139" s="53"/>
      <c r="Q139" s="131">
        <f t="shared" si="50"/>
        <v>1000</v>
      </c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34">
        <f t="shared" si="54"/>
        <v>0</v>
      </c>
      <c r="AE139" s="52">
        <f t="shared" si="55"/>
        <v>1000</v>
      </c>
      <c r="AF139" s="132">
        <f t="shared" si="56"/>
        <v>0</v>
      </c>
    </row>
    <row r="140" spans="2:32" s="42" customFormat="1" ht="19.5" customHeight="1">
      <c r="B140" s="129"/>
      <c r="C140" s="30"/>
      <c r="D140" s="30">
        <v>4300</v>
      </c>
      <c r="E140" s="32" t="s">
        <v>471</v>
      </c>
      <c r="F140" s="52">
        <v>0</v>
      </c>
      <c r="G140" s="51">
        <v>5000</v>
      </c>
      <c r="H140" s="52">
        <v>5000</v>
      </c>
      <c r="I140" s="52">
        <v>5000</v>
      </c>
      <c r="J140" s="289" t="s">
        <v>238</v>
      </c>
      <c r="K140" s="53"/>
      <c r="L140" s="53"/>
      <c r="M140" s="53"/>
      <c r="N140" s="53"/>
      <c r="O140" s="53"/>
      <c r="P140" s="53"/>
      <c r="Q140" s="131">
        <f t="shared" si="50"/>
        <v>5000</v>
      </c>
      <c r="R140" s="52">
        <v>296.45</v>
      </c>
      <c r="S140" s="52">
        <v>597.04</v>
      </c>
      <c r="T140" s="52">
        <v>263.4</v>
      </c>
      <c r="U140" s="52">
        <v>388.07</v>
      </c>
      <c r="V140" s="52">
        <v>107.72</v>
      </c>
      <c r="W140" s="52">
        <v>407.26</v>
      </c>
      <c r="X140" s="52"/>
      <c r="Y140" s="52"/>
      <c r="Z140" s="52"/>
      <c r="AA140" s="52"/>
      <c r="AB140" s="52"/>
      <c r="AC140" s="52"/>
      <c r="AD140" s="34">
        <f t="shared" si="54"/>
        <v>2059.9399999999996</v>
      </c>
      <c r="AE140" s="52">
        <f t="shared" si="55"/>
        <v>2940.0600000000004</v>
      </c>
      <c r="AF140" s="132">
        <f t="shared" si="56"/>
        <v>41.19879999999999</v>
      </c>
    </row>
    <row r="141" spans="2:32" s="42" customFormat="1" ht="15.75" customHeight="1">
      <c r="B141" s="129"/>
      <c r="C141" s="30"/>
      <c r="D141" s="30">
        <v>4410</v>
      </c>
      <c r="E141" s="32" t="s">
        <v>491</v>
      </c>
      <c r="F141" s="52">
        <v>0</v>
      </c>
      <c r="G141" s="51">
        <v>1000</v>
      </c>
      <c r="H141" s="52">
        <v>1000</v>
      </c>
      <c r="I141" s="52">
        <v>1000</v>
      </c>
      <c r="J141" s="289" t="s">
        <v>239</v>
      </c>
      <c r="K141" s="53"/>
      <c r="L141" s="53"/>
      <c r="M141" s="53"/>
      <c r="N141" s="53"/>
      <c r="O141" s="53"/>
      <c r="P141" s="53"/>
      <c r="Q141" s="131">
        <f t="shared" si="50"/>
        <v>1000</v>
      </c>
      <c r="R141" s="52"/>
      <c r="S141" s="52">
        <v>136.51</v>
      </c>
      <c r="T141" s="52">
        <v>136.51</v>
      </c>
      <c r="U141" s="52">
        <v>133.37</v>
      </c>
      <c r="V141" s="52">
        <v>70.61</v>
      </c>
      <c r="W141" s="52">
        <v>100.41</v>
      </c>
      <c r="X141" s="52"/>
      <c r="Y141" s="52"/>
      <c r="Z141" s="52"/>
      <c r="AA141" s="52"/>
      <c r="AB141" s="52"/>
      <c r="AC141" s="52"/>
      <c r="AD141" s="34">
        <f t="shared" si="54"/>
        <v>577.41</v>
      </c>
      <c r="AE141" s="52">
        <f t="shared" si="55"/>
        <v>422.59000000000003</v>
      </c>
      <c r="AF141" s="132">
        <f t="shared" si="56"/>
        <v>57.741</v>
      </c>
    </row>
    <row r="142" spans="2:32" s="42" customFormat="1" ht="38.25">
      <c r="B142" s="129"/>
      <c r="C142" s="30"/>
      <c r="D142" s="30">
        <v>4440</v>
      </c>
      <c r="E142" s="32" t="s">
        <v>498</v>
      </c>
      <c r="F142" s="52">
        <v>0</v>
      </c>
      <c r="G142" s="51">
        <v>12640</v>
      </c>
      <c r="H142" s="52">
        <v>12640</v>
      </c>
      <c r="I142" s="52">
        <v>12640</v>
      </c>
      <c r="J142" s="289" t="s">
        <v>379</v>
      </c>
      <c r="K142" s="53"/>
      <c r="L142" s="53"/>
      <c r="M142" s="53"/>
      <c r="N142" s="53"/>
      <c r="O142" s="53"/>
      <c r="P142" s="53"/>
      <c r="Q142" s="131">
        <f t="shared" si="50"/>
        <v>12640</v>
      </c>
      <c r="R142" s="52">
        <v>3007.5</v>
      </c>
      <c r="S142" s="52"/>
      <c r="T142" s="52"/>
      <c r="U142" s="52"/>
      <c r="V142" s="52">
        <v>6472.5</v>
      </c>
      <c r="W142" s="52"/>
      <c r="X142" s="52"/>
      <c r="Y142" s="52"/>
      <c r="Z142" s="52"/>
      <c r="AA142" s="52"/>
      <c r="AB142" s="52"/>
      <c r="AC142" s="52"/>
      <c r="AD142" s="34">
        <f t="shared" si="54"/>
        <v>9480</v>
      </c>
      <c r="AE142" s="52">
        <f t="shared" si="55"/>
        <v>3160</v>
      </c>
      <c r="AF142" s="132">
        <f t="shared" si="56"/>
        <v>75</v>
      </c>
    </row>
    <row r="143" spans="2:32" s="42" customFormat="1" ht="12.75">
      <c r="B143" s="129"/>
      <c r="C143" s="43">
        <v>80104</v>
      </c>
      <c r="D143" s="43"/>
      <c r="E143" s="45" t="s">
        <v>668</v>
      </c>
      <c r="F143" s="48">
        <f>SUM(F144:F157)</f>
        <v>1055740</v>
      </c>
      <c r="G143" s="46">
        <f>SUM(G144:G157)</f>
        <v>838970</v>
      </c>
      <c r="H143" s="48">
        <f>SUM(H144:H157)</f>
        <v>795370</v>
      </c>
      <c r="I143" s="48">
        <f>SUM(I144:I157)</f>
        <v>795370</v>
      </c>
      <c r="J143" s="289"/>
      <c r="K143" s="49">
        <f aca="true" t="shared" si="57" ref="K143:Z143">SUM(K144:K157)</f>
        <v>0</v>
      </c>
      <c r="L143" s="49">
        <f t="shared" si="57"/>
        <v>0</v>
      </c>
      <c r="M143" s="49">
        <f t="shared" si="57"/>
        <v>0</v>
      </c>
      <c r="N143" s="46">
        <f t="shared" si="57"/>
        <v>-10460</v>
      </c>
      <c r="O143" s="49">
        <f t="shared" si="57"/>
        <v>0</v>
      </c>
      <c r="P143" s="49">
        <f t="shared" si="57"/>
        <v>0</v>
      </c>
      <c r="Q143" s="40">
        <f t="shared" si="57"/>
        <v>784910</v>
      </c>
      <c r="R143" s="48">
        <f t="shared" si="57"/>
        <v>49863.399999999994</v>
      </c>
      <c r="S143" s="48">
        <f t="shared" si="57"/>
        <v>50382.11</v>
      </c>
      <c r="T143" s="48">
        <f t="shared" si="57"/>
        <v>69437.79</v>
      </c>
      <c r="U143" s="48">
        <f t="shared" si="57"/>
        <v>80799.21</v>
      </c>
      <c r="V143" s="48">
        <f t="shared" si="57"/>
        <v>62695.08</v>
      </c>
      <c r="W143" s="48">
        <f t="shared" si="57"/>
        <v>55739.20000000001</v>
      </c>
      <c r="X143" s="48">
        <f t="shared" si="57"/>
        <v>0</v>
      </c>
      <c r="Y143" s="48">
        <f t="shared" si="57"/>
        <v>0</v>
      </c>
      <c r="Z143" s="48">
        <f t="shared" si="57"/>
        <v>0</v>
      </c>
      <c r="AA143" s="48">
        <f>SUM(AA144:AA157)</f>
        <v>0</v>
      </c>
      <c r="AB143" s="48">
        <f>SUM(AB144:AB157)</f>
        <v>0</v>
      </c>
      <c r="AC143" s="48">
        <f>SUM(AC144:AC157)</f>
        <v>0</v>
      </c>
      <c r="AD143" s="48">
        <f>SUM(AD144:AD157)</f>
        <v>368916.7899999999</v>
      </c>
      <c r="AE143" s="48">
        <f>SUM(AE144:AE157)</f>
        <v>415993.2100000001</v>
      </c>
      <c r="AF143" s="130">
        <f t="shared" si="56"/>
        <v>47.001158094558605</v>
      </c>
    </row>
    <row r="144" spans="2:32" s="42" customFormat="1" ht="36.75" customHeight="1">
      <c r="B144" s="133"/>
      <c r="C144" s="30"/>
      <c r="D144" s="30">
        <v>2540</v>
      </c>
      <c r="E144" s="32" t="s">
        <v>537</v>
      </c>
      <c r="F144" s="52">
        <v>178000</v>
      </c>
      <c r="G144" s="51">
        <v>170400</v>
      </c>
      <c r="H144" s="52">
        <v>170400</v>
      </c>
      <c r="I144" s="52">
        <v>170400</v>
      </c>
      <c r="J144" s="289" t="s">
        <v>240</v>
      </c>
      <c r="K144" s="53"/>
      <c r="L144" s="53"/>
      <c r="M144" s="53"/>
      <c r="N144" s="51">
        <v>-6200</v>
      </c>
      <c r="O144" s="53"/>
      <c r="P144" s="53"/>
      <c r="Q144" s="131">
        <f t="shared" si="50"/>
        <v>164200</v>
      </c>
      <c r="R144" s="52">
        <v>8069.32</v>
      </c>
      <c r="S144" s="52">
        <v>7200</v>
      </c>
      <c r="T144" s="52">
        <v>8429.32</v>
      </c>
      <c r="U144" s="52">
        <v>8789.32</v>
      </c>
      <c r="V144" s="52">
        <v>10018.12</v>
      </c>
      <c r="W144" s="52">
        <v>9990</v>
      </c>
      <c r="X144" s="52"/>
      <c r="Y144" s="52"/>
      <c r="Z144" s="52"/>
      <c r="AA144" s="52"/>
      <c r="AB144" s="52"/>
      <c r="AC144" s="52"/>
      <c r="AD144" s="34">
        <f aca="true" t="shared" si="58" ref="AD144:AD157">SUM(R144:AC144)</f>
        <v>52496.08</v>
      </c>
      <c r="AE144" s="52">
        <f aca="true" t="shared" si="59" ref="AE144:AE157">Q144-AD144</f>
        <v>111703.92</v>
      </c>
      <c r="AF144" s="132">
        <f t="shared" si="56"/>
        <v>31.970816077953714</v>
      </c>
    </row>
    <row r="145" spans="2:32" s="42" customFormat="1" ht="28.5" customHeight="1">
      <c r="B145" s="129"/>
      <c r="C145" s="30"/>
      <c r="D145" s="30">
        <v>3020</v>
      </c>
      <c r="E145" s="32" t="s">
        <v>493</v>
      </c>
      <c r="F145" s="52">
        <v>26200</v>
      </c>
      <c r="G145" s="51">
        <v>21900</v>
      </c>
      <c r="H145" s="52">
        <v>19000</v>
      </c>
      <c r="I145" s="52">
        <v>19000</v>
      </c>
      <c r="J145" s="289" t="s">
        <v>649</v>
      </c>
      <c r="K145" s="53"/>
      <c r="L145" s="53"/>
      <c r="M145" s="53"/>
      <c r="N145" s="51">
        <v>-4260</v>
      </c>
      <c r="O145" s="53"/>
      <c r="P145" s="53"/>
      <c r="Q145" s="131">
        <f t="shared" si="50"/>
        <v>14740</v>
      </c>
      <c r="R145" s="52">
        <v>1371.4</v>
      </c>
      <c r="S145" s="52">
        <v>1373.44</v>
      </c>
      <c r="T145" s="52">
        <v>1373.49</v>
      </c>
      <c r="U145" s="52">
        <v>1414.99</v>
      </c>
      <c r="V145" s="52">
        <v>2403.69</v>
      </c>
      <c r="W145" s="52">
        <v>1364.52</v>
      </c>
      <c r="X145" s="52"/>
      <c r="Y145" s="52"/>
      <c r="Z145" s="52"/>
      <c r="AA145" s="52"/>
      <c r="AB145" s="52"/>
      <c r="AC145" s="52"/>
      <c r="AD145" s="34">
        <f t="shared" si="58"/>
        <v>9301.53</v>
      </c>
      <c r="AE145" s="52">
        <f t="shared" si="59"/>
        <v>5438.469999999999</v>
      </c>
      <c r="AF145" s="132">
        <f t="shared" si="56"/>
        <v>63.10400271370421</v>
      </c>
    </row>
    <row r="146" spans="2:32" s="42" customFormat="1" ht="32.25" customHeight="1">
      <c r="B146" s="129"/>
      <c r="C146" s="30"/>
      <c r="D146" s="30">
        <v>4010</v>
      </c>
      <c r="E146" s="32" t="s">
        <v>487</v>
      </c>
      <c r="F146" s="52">
        <v>553300</v>
      </c>
      <c r="G146" s="51">
        <v>417200</v>
      </c>
      <c r="H146" s="52">
        <v>382000</v>
      </c>
      <c r="I146" s="52">
        <v>382000</v>
      </c>
      <c r="J146" s="289" t="s">
        <v>227</v>
      </c>
      <c r="K146" s="53"/>
      <c r="L146" s="53"/>
      <c r="M146" s="53">
        <v>2245</v>
      </c>
      <c r="N146" s="53"/>
      <c r="O146" s="53"/>
      <c r="P146" s="53"/>
      <c r="Q146" s="131">
        <f t="shared" si="50"/>
        <v>384245</v>
      </c>
      <c r="R146" s="52">
        <v>29532.34</v>
      </c>
      <c r="S146" s="52">
        <v>28151.19</v>
      </c>
      <c r="T146" s="52">
        <v>29123.74</v>
      </c>
      <c r="U146" s="52">
        <v>40343.53</v>
      </c>
      <c r="V146" s="52">
        <v>21873.82</v>
      </c>
      <c r="W146" s="52">
        <v>30953</v>
      </c>
      <c r="X146" s="52"/>
      <c r="Y146" s="52"/>
      <c r="Z146" s="52"/>
      <c r="AA146" s="52"/>
      <c r="AB146" s="52"/>
      <c r="AC146" s="52"/>
      <c r="AD146" s="34">
        <f t="shared" si="58"/>
        <v>179977.62</v>
      </c>
      <c r="AE146" s="52">
        <f t="shared" si="59"/>
        <v>204267.38</v>
      </c>
      <c r="AF146" s="132">
        <f t="shared" si="56"/>
        <v>46.839287433798745</v>
      </c>
    </row>
    <row r="147" spans="2:32" s="42" customFormat="1" ht="25.5">
      <c r="B147" s="129"/>
      <c r="C147" s="30"/>
      <c r="D147" s="30">
        <v>4040</v>
      </c>
      <c r="E147" s="32" t="s">
        <v>494</v>
      </c>
      <c r="F147" s="52">
        <v>36916</v>
      </c>
      <c r="G147" s="51">
        <v>31750</v>
      </c>
      <c r="H147" s="52">
        <v>31750</v>
      </c>
      <c r="I147" s="52">
        <v>31750</v>
      </c>
      <c r="J147" s="289"/>
      <c r="K147" s="53"/>
      <c r="L147" s="53"/>
      <c r="M147" s="51">
        <v>-3245</v>
      </c>
      <c r="N147" s="53"/>
      <c r="O147" s="53"/>
      <c r="P147" s="53"/>
      <c r="Q147" s="131">
        <f t="shared" si="50"/>
        <v>28505</v>
      </c>
      <c r="R147" s="52"/>
      <c r="S147" s="52"/>
      <c r="T147" s="52">
        <v>18536.61</v>
      </c>
      <c r="U147" s="52">
        <v>9967.53</v>
      </c>
      <c r="V147" s="52"/>
      <c r="W147" s="52"/>
      <c r="X147" s="52"/>
      <c r="Y147" s="52"/>
      <c r="Z147" s="52"/>
      <c r="AA147" s="52"/>
      <c r="AB147" s="52"/>
      <c r="AC147" s="52"/>
      <c r="AD147" s="34">
        <f t="shared" si="58"/>
        <v>28504.14</v>
      </c>
      <c r="AE147" s="52">
        <f t="shared" si="59"/>
        <v>0.8600000000005821</v>
      </c>
      <c r="AF147" s="132">
        <f t="shared" si="56"/>
        <v>99.99698298544115</v>
      </c>
    </row>
    <row r="148" spans="2:32" s="42" customFormat="1" ht="25.5">
      <c r="B148" s="129"/>
      <c r="C148" s="30"/>
      <c r="D148" s="30">
        <v>4110</v>
      </c>
      <c r="E148" s="32" t="s">
        <v>488</v>
      </c>
      <c r="F148" s="52">
        <v>110200</v>
      </c>
      <c r="G148" s="51">
        <v>80400</v>
      </c>
      <c r="H148" s="52">
        <v>77900</v>
      </c>
      <c r="I148" s="52">
        <v>77900</v>
      </c>
      <c r="J148" s="289"/>
      <c r="K148" s="53"/>
      <c r="L148" s="53"/>
      <c r="M148" s="53"/>
      <c r="N148" s="53"/>
      <c r="O148" s="53"/>
      <c r="P148" s="53"/>
      <c r="Q148" s="131">
        <f t="shared" si="50"/>
        <v>77900</v>
      </c>
      <c r="R148" s="52">
        <v>5536.6</v>
      </c>
      <c r="S148" s="52">
        <v>5754.14</v>
      </c>
      <c r="T148" s="52">
        <v>4942.7</v>
      </c>
      <c r="U148" s="52">
        <v>11864.74</v>
      </c>
      <c r="V148" s="52">
        <v>5158.81</v>
      </c>
      <c r="W148" s="52">
        <v>5447.75</v>
      </c>
      <c r="X148" s="52"/>
      <c r="Y148" s="52"/>
      <c r="Z148" s="52"/>
      <c r="AA148" s="52"/>
      <c r="AB148" s="52"/>
      <c r="AC148" s="52"/>
      <c r="AD148" s="34">
        <f t="shared" si="58"/>
        <v>38704.74</v>
      </c>
      <c r="AE148" s="52">
        <f t="shared" si="59"/>
        <v>39195.26</v>
      </c>
      <c r="AF148" s="132">
        <f t="shared" si="56"/>
        <v>49.68516046213094</v>
      </c>
    </row>
    <row r="149" spans="2:32" s="42" customFormat="1" ht="12.75">
      <c r="B149" s="129"/>
      <c r="C149" s="30"/>
      <c r="D149" s="30">
        <v>4120</v>
      </c>
      <c r="E149" s="32" t="s">
        <v>495</v>
      </c>
      <c r="F149" s="52">
        <v>15150</v>
      </c>
      <c r="G149" s="51">
        <v>10800</v>
      </c>
      <c r="H149" s="52">
        <v>10800</v>
      </c>
      <c r="I149" s="52">
        <v>10800</v>
      </c>
      <c r="J149" s="289"/>
      <c r="K149" s="53"/>
      <c r="L149" s="53"/>
      <c r="M149" s="53"/>
      <c r="N149" s="53"/>
      <c r="O149" s="53"/>
      <c r="P149" s="53"/>
      <c r="Q149" s="131">
        <f t="shared" si="50"/>
        <v>10800</v>
      </c>
      <c r="R149" s="52">
        <v>754.01</v>
      </c>
      <c r="S149" s="52">
        <v>725.32</v>
      </c>
      <c r="T149" s="52">
        <v>711.4</v>
      </c>
      <c r="U149" s="52">
        <v>1444.39</v>
      </c>
      <c r="V149" s="52">
        <v>775.13</v>
      </c>
      <c r="W149" s="52">
        <v>795.79</v>
      </c>
      <c r="X149" s="52"/>
      <c r="Y149" s="52"/>
      <c r="Z149" s="52"/>
      <c r="AA149" s="52"/>
      <c r="AB149" s="52"/>
      <c r="AC149" s="52"/>
      <c r="AD149" s="34">
        <f t="shared" si="58"/>
        <v>5206.04</v>
      </c>
      <c r="AE149" s="52">
        <f t="shared" si="59"/>
        <v>5593.96</v>
      </c>
      <c r="AF149" s="132">
        <f t="shared" si="56"/>
        <v>48.20407407407407</v>
      </c>
    </row>
    <row r="150" spans="2:32" s="42" customFormat="1" ht="24.75" customHeight="1">
      <c r="B150" s="129"/>
      <c r="C150" s="30"/>
      <c r="D150" s="30">
        <v>4210</v>
      </c>
      <c r="E150" s="32" t="s">
        <v>469</v>
      </c>
      <c r="F150" s="52">
        <v>23900</v>
      </c>
      <c r="G150" s="51">
        <v>20000</v>
      </c>
      <c r="H150" s="52">
        <v>17000</v>
      </c>
      <c r="I150" s="52">
        <v>17000</v>
      </c>
      <c r="J150" s="289" t="s">
        <v>380</v>
      </c>
      <c r="K150" s="53"/>
      <c r="L150" s="53"/>
      <c r="M150" s="53"/>
      <c r="N150" s="53"/>
      <c r="O150" s="53"/>
      <c r="P150" s="53"/>
      <c r="Q150" s="131">
        <f t="shared" si="50"/>
        <v>17000</v>
      </c>
      <c r="R150" s="52">
        <v>1881.59</v>
      </c>
      <c r="S150" s="52">
        <v>674.35</v>
      </c>
      <c r="T150" s="52">
        <v>835.42</v>
      </c>
      <c r="U150" s="52">
        <v>820.77</v>
      </c>
      <c r="V150" s="52">
        <v>1230.07</v>
      </c>
      <c r="W150" s="52">
        <v>1162.87</v>
      </c>
      <c r="X150" s="52"/>
      <c r="Y150" s="52"/>
      <c r="Z150" s="52"/>
      <c r="AA150" s="52"/>
      <c r="AB150" s="52"/>
      <c r="AC150" s="52"/>
      <c r="AD150" s="34">
        <f t="shared" si="58"/>
        <v>6605.07</v>
      </c>
      <c r="AE150" s="52">
        <f t="shared" si="59"/>
        <v>10394.93</v>
      </c>
      <c r="AF150" s="132">
        <f t="shared" si="56"/>
        <v>38.85335294117647</v>
      </c>
    </row>
    <row r="151" spans="2:32" s="42" customFormat="1" ht="25.5" customHeight="1">
      <c r="B151" s="129"/>
      <c r="C151" s="30"/>
      <c r="D151" s="30">
        <v>4240</v>
      </c>
      <c r="E151" s="32" t="s">
        <v>536</v>
      </c>
      <c r="F151" s="52">
        <v>4084</v>
      </c>
      <c r="G151" s="51">
        <v>2600</v>
      </c>
      <c r="H151" s="52">
        <v>2600</v>
      </c>
      <c r="I151" s="52">
        <v>2600</v>
      </c>
      <c r="J151" s="289" t="s">
        <v>381</v>
      </c>
      <c r="K151" s="53"/>
      <c r="L151" s="53"/>
      <c r="M151" s="53"/>
      <c r="N151" s="53"/>
      <c r="O151" s="53"/>
      <c r="P151" s="53"/>
      <c r="Q151" s="131">
        <f t="shared" si="50"/>
        <v>2600</v>
      </c>
      <c r="R151" s="52"/>
      <c r="S151" s="52">
        <v>435.4</v>
      </c>
      <c r="T151" s="52">
        <v>328.16</v>
      </c>
      <c r="U151" s="52">
        <v>398.06</v>
      </c>
      <c r="V151" s="52">
        <v>270.8</v>
      </c>
      <c r="W151" s="52"/>
      <c r="X151" s="52"/>
      <c r="Y151" s="52"/>
      <c r="Z151" s="52"/>
      <c r="AA151" s="52"/>
      <c r="AB151" s="52"/>
      <c r="AC151" s="52"/>
      <c r="AD151" s="34">
        <f t="shared" si="58"/>
        <v>1432.4199999999998</v>
      </c>
      <c r="AE151" s="52">
        <f t="shared" si="59"/>
        <v>1167.5800000000002</v>
      </c>
      <c r="AF151" s="132">
        <f t="shared" si="56"/>
        <v>55.093076923076914</v>
      </c>
    </row>
    <row r="152" spans="2:32" s="42" customFormat="1" ht="12.75">
      <c r="B152" s="129"/>
      <c r="C152" s="30"/>
      <c r="D152" s="30">
        <v>4260</v>
      </c>
      <c r="E152" s="32" t="s">
        <v>496</v>
      </c>
      <c r="F152" s="52">
        <v>49500</v>
      </c>
      <c r="G152" s="51">
        <v>45300</v>
      </c>
      <c r="H152" s="52">
        <v>45300</v>
      </c>
      <c r="I152" s="52">
        <v>45300</v>
      </c>
      <c r="J152" s="289" t="s">
        <v>236</v>
      </c>
      <c r="K152" s="53"/>
      <c r="L152" s="53"/>
      <c r="M152" s="53"/>
      <c r="N152" s="53"/>
      <c r="O152" s="53"/>
      <c r="P152" s="53"/>
      <c r="Q152" s="131">
        <f t="shared" si="50"/>
        <v>45300</v>
      </c>
      <c r="R152" s="52">
        <v>2005.8</v>
      </c>
      <c r="S152" s="52">
        <v>5034.51</v>
      </c>
      <c r="T152" s="52">
        <v>3994.32</v>
      </c>
      <c r="U152" s="52">
        <v>4806.99</v>
      </c>
      <c r="V152" s="52">
        <v>2673.72</v>
      </c>
      <c r="W152" s="52">
        <v>4981.28</v>
      </c>
      <c r="X152" s="52"/>
      <c r="Y152" s="52"/>
      <c r="Z152" s="52"/>
      <c r="AA152" s="52"/>
      <c r="AB152" s="52"/>
      <c r="AC152" s="52"/>
      <c r="AD152" s="34">
        <f t="shared" si="58"/>
        <v>23496.62</v>
      </c>
      <c r="AE152" s="52">
        <f t="shared" si="59"/>
        <v>21803.38</v>
      </c>
      <c r="AF152" s="132">
        <f t="shared" si="56"/>
        <v>51.868918322295805</v>
      </c>
    </row>
    <row r="153" spans="2:32" s="42" customFormat="1" ht="12.75" customHeight="1">
      <c r="B153" s="129"/>
      <c r="C153" s="30"/>
      <c r="D153" s="30">
        <v>4270</v>
      </c>
      <c r="E153" s="32" t="s">
        <v>470</v>
      </c>
      <c r="F153" s="52">
        <v>9700</v>
      </c>
      <c r="G153" s="51">
        <v>3000</v>
      </c>
      <c r="H153" s="52">
        <v>3000</v>
      </c>
      <c r="I153" s="52">
        <v>3000</v>
      </c>
      <c r="J153" s="289" t="s">
        <v>241</v>
      </c>
      <c r="K153" s="53"/>
      <c r="L153" s="53"/>
      <c r="M153" s="53"/>
      <c r="N153" s="53"/>
      <c r="O153" s="53"/>
      <c r="P153" s="53"/>
      <c r="Q153" s="131">
        <f t="shared" si="50"/>
        <v>3000</v>
      </c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34">
        <f t="shared" si="58"/>
        <v>0</v>
      </c>
      <c r="AE153" s="52">
        <f t="shared" si="59"/>
        <v>3000</v>
      </c>
      <c r="AF153" s="132">
        <f t="shared" si="56"/>
        <v>0</v>
      </c>
    </row>
    <row r="154" spans="2:32" s="42" customFormat="1" ht="18" customHeight="1">
      <c r="B154" s="129"/>
      <c r="C154" s="30"/>
      <c r="D154" s="30">
        <v>4300</v>
      </c>
      <c r="E154" s="32" t="s">
        <v>471</v>
      </c>
      <c r="F154" s="52">
        <v>17100</v>
      </c>
      <c r="G154" s="51">
        <v>11000</v>
      </c>
      <c r="H154" s="52">
        <v>11000</v>
      </c>
      <c r="I154" s="52">
        <v>11000</v>
      </c>
      <c r="J154" s="289" t="s">
        <v>238</v>
      </c>
      <c r="K154" s="53"/>
      <c r="L154" s="53"/>
      <c r="M154" s="53"/>
      <c r="N154" s="53"/>
      <c r="O154" s="53"/>
      <c r="P154" s="53"/>
      <c r="Q154" s="131">
        <f t="shared" si="50"/>
        <v>11000</v>
      </c>
      <c r="R154" s="52">
        <v>442.96</v>
      </c>
      <c r="S154" s="52">
        <v>540.61</v>
      </c>
      <c r="T154" s="52">
        <v>966.48</v>
      </c>
      <c r="U154" s="52">
        <v>715.08</v>
      </c>
      <c r="V154" s="52">
        <v>642.36</v>
      </c>
      <c r="W154" s="52">
        <v>952.19</v>
      </c>
      <c r="X154" s="52"/>
      <c r="Y154" s="52"/>
      <c r="Z154" s="52"/>
      <c r="AA154" s="52"/>
      <c r="AB154" s="52"/>
      <c r="AC154" s="52"/>
      <c r="AD154" s="34">
        <f t="shared" si="58"/>
        <v>4259.68</v>
      </c>
      <c r="AE154" s="52">
        <f t="shared" si="59"/>
        <v>6740.32</v>
      </c>
      <c r="AF154" s="132">
        <f t="shared" si="56"/>
        <v>38.724363636363634</v>
      </c>
    </row>
    <row r="155" spans="2:32" s="42" customFormat="1" ht="15.75" customHeight="1">
      <c r="B155" s="129"/>
      <c r="C155" s="30"/>
      <c r="D155" s="30">
        <v>4410</v>
      </c>
      <c r="E155" s="32" t="s">
        <v>491</v>
      </c>
      <c r="F155" s="52">
        <v>2300</v>
      </c>
      <c r="G155" s="51">
        <v>1000</v>
      </c>
      <c r="H155" s="52">
        <v>1000</v>
      </c>
      <c r="I155" s="52">
        <v>1000</v>
      </c>
      <c r="J155" s="289" t="s">
        <v>382</v>
      </c>
      <c r="K155" s="53"/>
      <c r="L155" s="53"/>
      <c r="M155" s="53">
        <v>1000</v>
      </c>
      <c r="N155" s="53"/>
      <c r="O155" s="53"/>
      <c r="P155" s="53"/>
      <c r="Q155" s="131">
        <f t="shared" si="50"/>
        <v>2000</v>
      </c>
      <c r="R155" s="52">
        <v>269.38</v>
      </c>
      <c r="S155" s="52">
        <v>223.35</v>
      </c>
      <c r="T155" s="52">
        <v>196.15</v>
      </c>
      <c r="U155" s="52">
        <v>233.81</v>
      </c>
      <c r="V155" s="52">
        <v>308.56</v>
      </c>
      <c r="W155" s="52">
        <v>91.8</v>
      </c>
      <c r="X155" s="52"/>
      <c r="Y155" s="52"/>
      <c r="Z155" s="52"/>
      <c r="AA155" s="52"/>
      <c r="AB155" s="52"/>
      <c r="AC155" s="52"/>
      <c r="AD155" s="34">
        <f t="shared" si="58"/>
        <v>1323.05</v>
      </c>
      <c r="AE155" s="52">
        <f t="shared" si="59"/>
        <v>676.95</v>
      </c>
      <c r="AF155" s="132">
        <f t="shared" si="56"/>
        <v>66.1525</v>
      </c>
    </row>
    <row r="156" spans="2:32" s="42" customFormat="1" ht="15.75" customHeight="1">
      <c r="B156" s="129"/>
      <c r="C156" s="30"/>
      <c r="D156" s="30">
        <v>4430</v>
      </c>
      <c r="E156" s="32" t="s">
        <v>232</v>
      </c>
      <c r="F156" s="52">
        <v>0</v>
      </c>
      <c r="G156" s="51">
        <v>500</v>
      </c>
      <c r="H156" s="52">
        <v>500</v>
      </c>
      <c r="I156" s="52">
        <v>500</v>
      </c>
      <c r="J156" s="289" t="s">
        <v>242</v>
      </c>
      <c r="K156" s="53"/>
      <c r="L156" s="53"/>
      <c r="M156" s="53"/>
      <c r="N156" s="53"/>
      <c r="O156" s="53"/>
      <c r="P156" s="53"/>
      <c r="Q156" s="131">
        <f t="shared" si="50"/>
        <v>500</v>
      </c>
      <c r="R156" s="52"/>
      <c r="S156" s="52">
        <v>269.8</v>
      </c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34">
        <f t="shared" si="58"/>
        <v>269.8</v>
      </c>
      <c r="AE156" s="52">
        <f t="shared" si="59"/>
        <v>230.2</v>
      </c>
      <c r="AF156" s="132">
        <f t="shared" si="56"/>
        <v>53.96</v>
      </c>
    </row>
    <row r="157" spans="2:32" s="42" customFormat="1" ht="30.75" customHeight="1">
      <c r="B157" s="129"/>
      <c r="C157" s="30"/>
      <c r="D157" s="30">
        <v>4440</v>
      </c>
      <c r="E157" s="32" t="s">
        <v>498</v>
      </c>
      <c r="F157" s="52">
        <v>29390</v>
      </c>
      <c r="G157" s="51">
        <v>23120</v>
      </c>
      <c r="H157" s="52">
        <v>23120</v>
      </c>
      <c r="I157" s="52">
        <v>23120</v>
      </c>
      <c r="J157" s="289" t="s">
        <v>379</v>
      </c>
      <c r="K157" s="53"/>
      <c r="L157" s="53"/>
      <c r="M157" s="53"/>
      <c r="N157" s="53"/>
      <c r="O157" s="53"/>
      <c r="P157" s="53"/>
      <c r="Q157" s="131">
        <f t="shared" si="50"/>
        <v>23120</v>
      </c>
      <c r="R157" s="52"/>
      <c r="S157" s="52"/>
      <c r="T157" s="52"/>
      <c r="U157" s="52"/>
      <c r="V157" s="52">
        <v>17340</v>
      </c>
      <c r="W157" s="52"/>
      <c r="X157" s="52"/>
      <c r="Y157" s="52"/>
      <c r="Z157" s="52"/>
      <c r="AA157" s="52"/>
      <c r="AB157" s="52"/>
      <c r="AC157" s="52"/>
      <c r="AD157" s="34">
        <f t="shared" si="58"/>
        <v>17340</v>
      </c>
      <c r="AE157" s="52">
        <f t="shared" si="59"/>
        <v>5780</v>
      </c>
      <c r="AF157" s="132">
        <f t="shared" si="56"/>
        <v>75</v>
      </c>
    </row>
    <row r="158" spans="2:32" s="42" customFormat="1" ht="12.75">
      <c r="B158" s="129"/>
      <c r="C158" s="43">
        <v>80110</v>
      </c>
      <c r="D158" s="43"/>
      <c r="E158" s="45" t="s">
        <v>673</v>
      </c>
      <c r="F158" s="48">
        <f>SUM(F159:F173)</f>
        <v>7174170</v>
      </c>
      <c r="G158" s="46">
        <f>SUM(G159:G173)</f>
        <v>7129207</v>
      </c>
      <c r="H158" s="48">
        <f>SUM(H159:H173)</f>
        <v>7104577</v>
      </c>
      <c r="I158" s="48">
        <f>SUM(I159:I173)</f>
        <v>7104577</v>
      </c>
      <c r="J158" s="289"/>
      <c r="K158" s="49">
        <f aca="true" t="shared" si="60" ref="K158:Z158">SUM(K159:K173)</f>
        <v>5750095</v>
      </c>
      <c r="L158" s="49">
        <f t="shared" si="60"/>
        <v>0</v>
      </c>
      <c r="M158" s="49">
        <f t="shared" si="60"/>
        <v>0</v>
      </c>
      <c r="N158" s="49">
        <f t="shared" si="60"/>
        <v>0</v>
      </c>
      <c r="O158" s="49">
        <f t="shared" si="60"/>
        <v>0</v>
      </c>
      <c r="P158" s="49">
        <f t="shared" si="60"/>
        <v>0</v>
      </c>
      <c r="Q158" s="40">
        <f t="shared" si="60"/>
        <v>12854672</v>
      </c>
      <c r="R158" s="48">
        <f t="shared" si="60"/>
        <v>5624768.3100000005</v>
      </c>
      <c r="S158" s="48">
        <f t="shared" si="60"/>
        <v>90494.95</v>
      </c>
      <c r="T158" s="48">
        <f t="shared" si="60"/>
        <v>135190.61000000002</v>
      </c>
      <c r="U158" s="48">
        <f t="shared" si="60"/>
        <v>172402.33000000002</v>
      </c>
      <c r="V158" s="48">
        <f t="shared" si="60"/>
        <v>100950.42000000001</v>
      </c>
      <c r="W158" s="48">
        <f t="shared" si="60"/>
        <v>2214884.54</v>
      </c>
      <c r="X158" s="48">
        <f t="shared" si="60"/>
        <v>0</v>
      </c>
      <c r="Y158" s="48">
        <f t="shared" si="60"/>
        <v>0</v>
      </c>
      <c r="Z158" s="48">
        <f t="shared" si="60"/>
        <v>0</v>
      </c>
      <c r="AA158" s="48">
        <f>SUM(AA159:AA173)</f>
        <v>0</v>
      </c>
      <c r="AB158" s="48">
        <f>SUM(AB159:AB173)</f>
        <v>0</v>
      </c>
      <c r="AC158" s="48">
        <f>SUM(AC159:AC173)</f>
        <v>0</v>
      </c>
      <c r="AD158" s="48">
        <f>SUM(AD159:AD173)</f>
        <v>8338691.16</v>
      </c>
      <c r="AE158" s="48">
        <f>SUM(AE159:AE173)</f>
        <v>4515980.84</v>
      </c>
      <c r="AF158" s="130">
        <f t="shared" si="56"/>
        <v>64.86895317126722</v>
      </c>
    </row>
    <row r="159" spans="2:32" s="42" customFormat="1" ht="30.75" customHeight="1">
      <c r="B159" s="129"/>
      <c r="C159" s="43"/>
      <c r="D159" s="30">
        <v>3020</v>
      </c>
      <c r="E159" s="32" t="s">
        <v>493</v>
      </c>
      <c r="F159" s="52">
        <v>68500</v>
      </c>
      <c r="G159" s="51">
        <v>75630</v>
      </c>
      <c r="H159" s="52">
        <v>71500</v>
      </c>
      <c r="I159" s="52">
        <v>71500</v>
      </c>
      <c r="J159" s="289" t="s">
        <v>649</v>
      </c>
      <c r="K159" s="53"/>
      <c r="L159" s="53"/>
      <c r="M159" s="53"/>
      <c r="N159" s="53"/>
      <c r="O159" s="53"/>
      <c r="P159" s="53"/>
      <c r="Q159" s="131">
        <f t="shared" si="50"/>
        <v>71500</v>
      </c>
      <c r="R159" s="52">
        <v>5757.04</v>
      </c>
      <c r="S159" s="52">
        <v>5656.44</v>
      </c>
      <c r="T159" s="52">
        <v>6231.49</v>
      </c>
      <c r="U159" s="52">
        <v>4741.25</v>
      </c>
      <c r="V159" s="52">
        <v>5748.28</v>
      </c>
      <c r="W159" s="52">
        <v>6405.35</v>
      </c>
      <c r="X159" s="52"/>
      <c r="Y159" s="52"/>
      <c r="Z159" s="52"/>
      <c r="AA159" s="52"/>
      <c r="AB159" s="52"/>
      <c r="AC159" s="52"/>
      <c r="AD159" s="34">
        <f aca="true" t="shared" si="61" ref="AD159:AD173">SUM(R159:AC159)</f>
        <v>34539.85</v>
      </c>
      <c r="AE159" s="52">
        <f aca="true" t="shared" si="62" ref="AE159:AE173">Q159-AD159</f>
        <v>36960.15</v>
      </c>
      <c r="AF159" s="132">
        <f t="shared" si="56"/>
        <v>48.30748251748252</v>
      </c>
    </row>
    <row r="160" spans="2:32" s="42" customFormat="1" ht="25.5">
      <c r="B160" s="129"/>
      <c r="C160" s="43"/>
      <c r="D160" s="30">
        <v>4010</v>
      </c>
      <c r="E160" s="32" t="s">
        <v>487</v>
      </c>
      <c r="F160" s="52">
        <v>851700</v>
      </c>
      <c r="G160" s="51">
        <v>880450</v>
      </c>
      <c r="H160" s="52">
        <v>870450</v>
      </c>
      <c r="I160" s="52">
        <v>870450</v>
      </c>
      <c r="J160" s="289" t="s">
        <v>921</v>
      </c>
      <c r="K160" s="53"/>
      <c r="L160" s="53"/>
      <c r="M160" s="53">
        <v>9400</v>
      </c>
      <c r="N160" s="53"/>
      <c r="O160" s="53"/>
      <c r="P160" s="53"/>
      <c r="Q160" s="131">
        <f t="shared" si="50"/>
        <v>879850</v>
      </c>
      <c r="R160" s="52">
        <v>70051.98</v>
      </c>
      <c r="S160" s="52">
        <v>68935.98</v>
      </c>
      <c r="T160" s="52">
        <v>68196.82</v>
      </c>
      <c r="U160" s="52">
        <v>107086.31</v>
      </c>
      <c r="V160" s="52">
        <v>31191.78</v>
      </c>
      <c r="W160" s="52">
        <v>68008.59</v>
      </c>
      <c r="X160" s="52"/>
      <c r="Y160" s="52"/>
      <c r="Z160" s="52"/>
      <c r="AA160" s="52"/>
      <c r="AB160" s="52"/>
      <c r="AC160" s="52"/>
      <c r="AD160" s="34">
        <f t="shared" si="61"/>
        <v>413471.45999999996</v>
      </c>
      <c r="AE160" s="52">
        <f t="shared" si="62"/>
        <v>466378.54000000004</v>
      </c>
      <c r="AF160" s="132">
        <f t="shared" si="56"/>
        <v>46.99340342103768</v>
      </c>
    </row>
    <row r="161" spans="2:32" s="42" customFormat="1" ht="25.5">
      <c r="B161" s="129"/>
      <c r="C161" s="43"/>
      <c r="D161" s="30">
        <v>4040</v>
      </c>
      <c r="E161" s="32" t="s">
        <v>494</v>
      </c>
      <c r="F161" s="52">
        <v>66863</v>
      </c>
      <c r="G161" s="51">
        <v>74350</v>
      </c>
      <c r="H161" s="52">
        <v>74350</v>
      </c>
      <c r="I161" s="52">
        <v>74350</v>
      </c>
      <c r="J161" s="289"/>
      <c r="K161" s="53"/>
      <c r="L161" s="53"/>
      <c r="M161" s="51">
        <v>-9942</v>
      </c>
      <c r="N161" s="53"/>
      <c r="O161" s="53"/>
      <c r="P161" s="53"/>
      <c r="Q161" s="131">
        <f t="shared" si="50"/>
        <v>64408</v>
      </c>
      <c r="R161" s="52"/>
      <c r="S161" s="52"/>
      <c r="T161" s="52">
        <v>41884.83</v>
      </c>
      <c r="U161" s="52">
        <v>22523.14</v>
      </c>
      <c r="V161" s="52"/>
      <c r="W161" s="52"/>
      <c r="X161" s="52"/>
      <c r="Y161" s="52"/>
      <c r="Z161" s="52"/>
      <c r="AA161" s="52"/>
      <c r="AB161" s="52"/>
      <c r="AC161" s="52"/>
      <c r="AD161" s="34">
        <f t="shared" si="61"/>
        <v>64407.97</v>
      </c>
      <c r="AE161" s="52">
        <f t="shared" si="62"/>
        <v>0.029999999998835847</v>
      </c>
      <c r="AF161" s="132">
        <f t="shared" si="56"/>
        <v>99.99995342193516</v>
      </c>
    </row>
    <row r="162" spans="2:32" s="42" customFormat="1" ht="25.5">
      <c r="B162" s="129"/>
      <c r="C162" s="43"/>
      <c r="D162" s="30">
        <v>4110</v>
      </c>
      <c r="E162" s="32" t="s">
        <v>488</v>
      </c>
      <c r="F162" s="52">
        <v>178650</v>
      </c>
      <c r="G162" s="51">
        <v>188000</v>
      </c>
      <c r="H162" s="52">
        <v>184300</v>
      </c>
      <c r="I162" s="52">
        <v>184300</v>
      </c>
      <c r="J162" s="289"/>
      <c r="K162" s="53"/>
      <c r="L162" s="53"/>
      <c r="M162" s="53"/>
      <c r="N162" s="53"/>
      <c r="O162" s="53"/>
      <c r="P162" s="53"/>
      <c r="Q162" s="131">
        <f t="shared" si="50"/>
        <v>184300</v>
      </c>
      <c r="R162" s="52">
        <v>12621.43</v>
      </c>
      <c r="S162" s="52">
        <v>12913.01</v>
      </c>
      <c r="T162" s="52">
        <v>12951.79</v>
      </c>
      <c r="U162" s="52">
        <v>27168.46</v>
      </c>
      <c r="V162" s="52">
        <v>11421.4</v>
      </c>
      <c r="W162" s="52">
        <v>13464.25</v>
      </c>
      <c r="X162" s="52"/>
      <c r="Y162" s="52"/>
      <c r="Z162" s="52"/>
      <c r="AA162" s="52"/>
      <c r="AB162" s="52"/>
      <c r="AC162" s="52"/>
      <c r="AD162" s="34">
        <f t="shared" si="61"/>
        <v>90540.34</v>
      </c>
      <c r="AE162" s="52">
        <f t="shared" si="62"/>
        <v>93759.66</v>
      </c>
      <c r="AF162" s="132">
        <f t="shared" si="56"/>
        <v>49.12660879001628</v>
      </c>
    </row>
    <row r="163" spans="2:32" s="42" customFormat="1" ht="12.75">
      <c r="B163" s="129"/>
      <c r="C163" s="43"/>
      <c r="D163" s="30">
        <v>4120</v>
      </c>
      <c r="E163" s="32" t="s">
        <v>495</v>
      </c>
      <c r="F163" s="52">
        <v>24400</v>
      </c>
      <c r="G163" s="51">
        <v>26900</v>
      </c>
      <c r="H163" s="52">
        <v>25100</v>
      </c>
      <c r="I163" s="52">
        <v>25100</v>
      </c>
      <c r="J163" s="289"/>
      <c r="K163" s="53"/>
      <c r="L163" s="53"/>
      <c r="M163" s="53"/>
      <c r="N163" s="53"/>
      <c r="O163" s="53"/>
      <c r="P163" s="53"/>
      <c r="Q163" s="131">
        <f t="shared" si="50"/>
        <v>25100</v>
      </c>
      <c r="R163" s="52">
        <v>1835.3</v>
      </c>
      <c r="S163" s="52">
        <v>1863.04</v>
      </c>
      <c r="T163" s="52">
        <v>1770.1</v>
      </c>
      <c r="U163" s="52">
        <v>3385.85</v>
      </c>
      <c r="V163" s="52">
        <v>1796.32</v>
      </c>
      <c r="W163" s="52">
        <v>1864.69</v>
      </c>
      <c r="X163" s="52"/>
      <c r="Y163" s="52"/>
      <c r="Z163" s="52"/>
      <c r="AA163" s="52"/>
      <c r="AB163" s="52"/>
      <c r="AC163" s="52"/>
      <c r="AD163" s="34">
        <f t="shared" si="61"/>
        <v>12515.300000000001</v>
      </c>
      <c r="AE163" s="52">
        <f t="shared" si="62"/>
        <v>12584.699999999999</v>
      </c>
      <c r="AF163" s="132">
        <f t="shared" si="56"/>
        <v>49.86175298804781</v>
      </c>
    </row>
    <row r="164" spans="2:32" s="42" customFormat="1" ht="29.25" customHeight="1">
      <c r="B164" s="129"/>
      <c r="C164" s="43"/>
      <c r="D164" s="30">
        <v>4210</v>
      </c>
      <c r="E164" s="32" t="s">
        <v>469</v>
      </c>
      <c r="F164" s="52">
        <v>14000</v>
      </c>
      <c r="G164" s="51">
        <v>15000</v>
      </c>
      <c r="H164" s="52">
        <v>10000</v>
      </c>
      <c r="I164" s="52">
        <v>10000</v>
      </c>
      <c r="J164" s="289" t="s">
        <v>383</v>
      </c>
      <c r="K164" s="53"/>
      <c r="L164" s="53"/>
      <c r="M164" s="53"/>
      <c r="N164" s="53"/>
      <c r="O164" s="53"/>
      <c r="P164" s="53"/>
      <c r="Q164" s="131">
        <f t="shared" si="50"/>
        <v>10000</v>
      </c>
      <c r="R164" s="52">
        <v>891.86</v>
      </c>
      <c r="S164" s="52">
        <v>619.53</v>
      </c>
      <c r="T164" s="52">
        <v>2150.36</v>
      </c>
      <c r="U164" s="52">
        <v>1663.5</v>
      </c>
      <c r="V164" s="52">
        <v>996.47</v>
      </c>
      <c r="W164" s="52">
        <v>1344.36</v>
      </c>
      <c r="X164" s="52"/>
      <c r="Y164" s="52"/>
      <c r="Z164" s="52"/>
      <c r="AA164" s="52"/>
      <c r="AB164" s="52"/>
      <c r="AC164" s="52"/>
      <c r="AD164" s="34">
        <f t="shared" si="61"/>
        <v>7666.08</v>
      </c>
      <c r="AE164" s="52">
        <f t="shared" si="62"/>
        <v>2333.92</v>
      </c>
      <c r="AF164" s="132">
        <f t="shared" si="56"/>
        <v>76.6608</v>
      </c>
    </row>
    <row r="165" spans="2:32" s="42" customFormat="1" ht="29.25" customHeight="1">
      <c r="B165" s="129"/>
      <c r="C165" s="43"/>
      <c r="D165" s="30">
        <v>4240</v>
      </c>
      <c r="E165" s="32" t="s">
        <v>536</v>
      </c>
      <c r="F165" s="52">
        <v>1000</v>
      </c>
      <c r="G165" s="51">
        <v>3200</v>
      </c>
      <c r="H165" s="52">
        <v>3200</v>
      </c>
      <c r="I165" s="52">
        <v>3200</v>
      </c>
      <c r="J165" s="289" t="s">
        <v>384</v>
      </c>
      <c r="K165" s="53"/>
      <c r="L165" s="53"/>
      <c r="M165" s="53"/>
      <c r="N165" s="53"/>
      <c r="O165" s="53"/>
      <c r="P165" s="53"/>
      <c r="Q165" s="131">
        <f t="shared" si="50"/>
        <v>3200</v>
      </c>
      <c r="R165" s="52">
        <v>145.54</v>
      </c>
      <c r="S165" s="52">
        <v>123.2</v>
      </c>
      <c r="T165" s="52">
        <v>90.9</v>
      </c>
      <c r="U165" s="52"/>
      <c r="V165" s="52"/>
      <c r="W165" s="52">
        <v>61.98</v>
      </c>
      <c r="X165" s="52"/>
      <c r="Y165" s="52"/>
      <c r="Z165" s="52"/>
      <c r="AA165" s="52"/>
      <c r="AB165" s="52"/>
      <c r="AC165" s="52"/>
      <c r="AD165" s="34">
        <f t="shared" si="61"/>
        <v>421.62</v>
      </c>
      <c r="AE165" s="52">
        <f t="shared" si="62"/>
        <v>2778.38</v>
      </c>
      <c r="AF165" s="132">
        <f t="shared" si="56"/>
        <v>13.175625</v>
      </c>
    </row>
    <row r="166" spans="2:32" s="42" customFormat="1" ht="15.75" customHeight="1">
      <c r="B166" s="129"/>
      <c r="C166" s="43"/>
      <c r="D166" s="30">
        <v>4260</v>
      </c>
      <c r="E166" s="32" t="s">
        <v>496</v>
      </c>
      <c r="F166" s="52">
        <v>0</v>
      </c>
      <c r="G166" s="51">
        <v>40000</v>
      </c>
      <c r="H166" s="52">
        <v>40000</v>
      </c>
      <c r="I166" s="52">
        <v>40000</v>
      </c>
      <c r="J166" s="289" t="s">
        <v>243</v>
      </c>
      <c r="K166" s="53"/>
      <c r="L166" s="53"/>
      <c r="M166" s="53"/>
      <c r="N166" s="53"/>
      <c r="O166" s="53"/>
      <c r="P166" s="53"/>
      <c r="Q166" s="131">
        <f t="shared" si="50"/>
        <v>40000</v>
      </c>
      <c r="R166" s="52"/>
      <c r="S166" s="52"/>
      <c r="T166" s="52"/>
      <c r="U166" s="52"/>
      <c r="V166" s="52"/>
      <c r="W166" s="52">
        <v>829.17</v>
      </c>
      <c r="X166" s="52"/>
      <c r="Y166" s="52"/>
      <c r="Z166" s="52"/>
      <c r="AA166" s="52"/>
      <c r="AB166" s="52"/>
      <c r="AC166" s="52"/>
      <c r="AD166" s="34">
        <f t="shared" si="61"/>
        <v>829.17</v>
      </c>
      <c r="AE166" s="52">
        <f t="shared" si="62"/>
        <v>39170.83</v>
      </c>
      <c r="AF166" s="132">
        <f t="shared" si="56"/>
        <v>2.072925</v>
      </c>
    </row>
    <row r="167" spans="2:32" s="42" customFormat="1" ht="18.75" customHeight="1">
      <c r="B167" s="129"/>
      <c r="C167" s="43"/>
      <c r="D167" s="30">
        <v>4300</v>
      </c>
      <c r="E167" s="32" t="s">
        <v>471</v>
      </c>
      <c r="F167" s="52">
        <v>8000</v>
      </c>
      <c r="G167" s="51">
        <v>10000</v>
      </c>
      <c r="H167" s="52">
        <v>10000</v>
      </c>
      <c r="I167" s="52">
        <v>10000</v>
      </c>
      <c r="J167" s="289" t="s">
        <v>385</v>
      </c>
      <c r="K167" s="53"/>
      <c r="L167" s="53"/>
      <c r="M167" s="53"/>
      <c r="N167" s="53"/>
      <c r="O167" s="53"/>
      <c r="P167" s="53"/>
      <c r="Q167" s="131">
        <f t="shared" si="50"/>
        <v>10000</v>
      </c>
      <c r="R167" s="52">
        <v>141.58</v>
      </c>
      <c r="S167" s="52">
        <v>116.96</v>
      </c>
      <c r="T167" s="52">
        <v>1457.54</v>
      </c>
      <c r="U167" s="52">
        <v>41.7</v>
      </c>
      <c r="V167" s="52">
        <v>1821.4</v>
      </c>
      <c r="W167" s="52">
        <v>331.5</v>
      </c>
      <c r="X167" s="52"/>
      <c r="Y167" s="52"/>
      <c r="Z167" s="52"/>
      <c r="AA167" s="52"/>
      <c r="AB167" s="52"/>
      <c r="AC167" s="52"/>
      <c r="AD167" s="34">
        <f t="shared" si="61"/>
        <v>3910.6800000000003</v>
      </c>
      <c r="AE167" s="52">
        <f t="shared" si="62"/>
        <v>6089.32</v>
      </c>
      <c r="AF167" s="132">
        <f t="shared" si="56"/>
        <v>39.1068</v>
      </c>
    </row>
    <row r="168" spans="2:32" s="42" customFormat="1" ht="25.5">
      <c r="B168" s="129"/>
      <c r="C168" s="43"/>
      <c r="D168" s="30">
        <v>4350</v>
      </c>
      <c r="E168" s="32" t="s">
        <v>584</v>
      </c>
      <c r="F168" s="52">
        <v>0</v>
      </c>
      <c r="G168" s="51">
        <v>750</v>
      </c>
      <c r="H168" s="52">
        <v>750</v>
      </c>
      <c r="I168" s="52">
        <v>750</v>
      </c>
      <c r="J168" s="289" t="s">
        <v>244</v>
      </c>
      <c r="K168" s="53"/>
      <c r="L168" s="53"/>
      <c r="M168" s="53">
        <v>542</v>
      </c>
      <c r="N168" s="53"/>
      <c r="O168" s="53"/>
      <c r="P168" s="53"/>
      <c r="Q168" s="131">
        <f t="shared" si="50"/>
        <v>1292</v>
      </c>
      <c r="R168" s="52"/>
      <c r="S168" s="52">
        <v>52.72</v>
      </c>
      <c r="T168" s="52">
        <v>16.6</v>
      </c>
      <c r="U168" s="52">
        <v>531.75</v>
      </c>
      <c r="V168" s="52">
        <v>137.05</v>
      </c>
      <c r="W168" s="52">
        <v>202.51</v>
      </c>
      <c r="X168" s="52"/>
      <c r="Y168" s="52"/>
      <c r="Z168" s="52"/>
      <c r="AA168" s="52"/>
      <c r="AB168" s="52"/>
      <c r="AC168" s="52"/>
      <c r="AD168" s="34">
        <f t="shared" si="61"/>
        <v>940.6299999999999</v>
      </c>
      <c r="AE168" s="52">
        <f t="shared" si="62"/>
        <v>351.3700000000001</v>
      </c>
      <c r="AF168" s="132">
        <f t="shared" si="56"/>
        <v>72.80417956656346</v>
      </c>
    </row>
    <row r="169" spans="2:32" s="42" customFormat="1" ht="22.5" customHeight="1">
      <c r="B169" s="129"/>
      <c r="C169" s="43"/>
      <c r="D169" s="30">
        <v>4410</v>
      </c>
      <c r="E169" s="32" t="s">
        <v>491</v>
      </c>
      <c r="F169" s="52">
        <v>3647</v>
      </c>
      <c r="G169" s="51">
        <v>2500</v>
      </c>
      <c r="H169" s="52">
        <v>2500</v>
      </c>
      <c r="I169" s="52">
        <v>2500</v>
      </c>
      <c r="J169" s="289" t="s">
        <v>382</v>
      </c>
      <c r="K169" s="53"/>
      <c r="L169" s="53"/>
      <c r="M169" s="53"/>
      <c r="N169" s="53"/>
      <c r="O169" s="53"/>
      <c r="P169" s="53"/>
      <c r="Q169" s="131">
        <f t="shared" si="50"/>
        <v>2500</v>
      </c>
      <c r="R169" s="52">
        <v>218.96</v>
      </c>
      <c r="S169" s="52">
        <v>214.07</v>
      </c>
      <c r="T169" s="52">
        <v>440.18</v>
      </c>
      <c r="U169" s="52">
        <v>254.37</v>
      </c>
      <c r="V169" s="52">
        <v>197.72</v>
      </c>
      <c r="W169" s="52">
        <v>409.21</v>
      </c>
      <c r="X169" s="52"/>
      <c r="Y169" s="52"/>
      <c r="Z169" s="52"/>
      <c r="AA169" s="52"/>
      <c r="AB169" s="52"/>
      <c r="AC169" s="52"/>
      <c r="AD169" s="34">
        <f t="shared" si="61"/>
        <v>1734.51</v>
      </c>
      <c r="AE169" s="52">
        <f t="shared" si="62"/>
        <v>765.49</v>
      </c>
      <c r="AF169" s="132">
        <f t="shared" si="56"/>
        <v>69.3804</v>
      </c>
    </row>
    <row r="170" spans="2:32" s="42" customFormat="1" ht="19.5" customHeight="1">
      <c r="B170" s="129"/>
      <c r="C170" s="43"/>
      <c r="D170" s="30">
        <v>4430</v>
      </c>
      <c r="E170" s="32" t="s">
        <v>232</v>
      </c>
      <c r="F170" s="52">
        <v>0</v>
      </c>
      <c r="G170" s="51">
        <v>6200</v>
      </c>
      <c r="H170" s="52">
        <v>6200</v>
      </c>
      <c r="I170" s="52">
        <v>6200</v>
      </c>
      <c r="J170" s="289" t="s">
        <v>242</v>
      </c>
      <c r="K170" s="53"/>
      <c r="L170" s="53"/>
      <c r="M170" s="53"/>
      <c r="N170" s="53"/>
      <c r="O170" s="53"/>
      <c r="P170" s="53"/>
      <c r="Q170" s="131">
        <f t="shared" si="50"/>
        <v>6200</v>
      </c>
      <c r="R170" s="52">
        <v>170</v>
      </c>
      <c r="S170" s="52"/>
      <c r="T170" s="52"/>
      <c r="U170" s="52">
        <v>431</v>
      </c>
      <c r="V170" s="52"/>
      <c r="W170" s="52"/>
      <c r="X170" s="52"/>
      <c r="Y170" s="52"/>
      <c r="Z170" s="52"/>
      <c r="AA170" s="52"/>
      <c r="AB170" s="52"/>
      <c r="AC170" s="52"/>
      <c r="AD170" s="34">
        <f t="shared" si="61"/>
        <v>601</v>
      </c>
      <c r="AE170" s="52">
        <f t="shared" si="62"/>
        <v>5599</v>
      </c>
      <c r="AF170" s="132">
        <f t="shared" si="56"/>
        <v>9.693548387096774</v>
      </c>
    </row>
    <row r="171" spans="2:32" s="42" customFormat="1" ht="38.25">
      <c r="B171" s="129"/>
      <c r="C171" s="43"/>
      <c r="D171" s="30">
        <v>4440</v>
      </c>
      <c r="E171" s="32" t="s">
        <v>498</v>
      </c>
      <c r="F171" s="52">
        <v>51440</v>
      </c>
      <c r="G171" s="51">
        <v>63520</v>
      </c>
      <c r="H171" s="52">
        <v>63520</v>
      </c>
      <c r="I171" s="52">
        <v>63520</v>
      </c>
      <c r="J171" s="289" t="s">
        <v>379</v>
      </c>
      <c r="K171" s="53"/>
      <c r="L171" s="53"/>
      <c r="M171" s="53"/>
      <c r="N171" s="53"/>
      <c r="O171" s="53"/>
      <c r="P171" s="53"/>
      <c r="Q171" s="131">
        <f t="shared" si="50"/>
        <v>63520</v>
      </c>
      <c r="R171" s="52"/>
      <c r="S171" s="52"/>
      <c r="T171" s="52"/>
      <c r="U171" s="52"/>
      <c r="V171" s="52">
        <v>47640</v>
      </c>
      <c r="W171" s="52"/>
      <c r="X171" s="52"/>
      <c r="Y171" s="52"/>
      <c r="Z171" s="52"/>
      <c r="AA171" s="52"/>
      <c r="AB171" s="52"/>
      <c r="AC171" s="52"/>
      <c r="AD171" s="34">
        <f t="shared" si="61"/>
        <v>47640</v>
      </c>
      <c r="AE171" s="52">
        <f t="shared" si="62"/>
        <v>15880</v>
      </c>
      <c r="AF171" s="132">
        <f t="shared" si="56"/>
        <v>75</v>
      </c>
    </row>
    <row r="172" spans="2:32" s="42" customFormat="1" ht="29.25" customHeight="1">
      <c r="B172" s="129"/>
      <c r="C172" s="43"/>
      <c r="D172" s="30">
        <v>6058</v>
      </c>
      <c r="E172" s="32" t="s">
        <v>472</v>
      </c>
      <c r="F172" s="52">
        <v>3643686</v>
      </c>
      <c r="G172" s="51">
        <v>3380587</v>
      </c>
      <c r="H172" s="52">
        <v>3380587</v>
      </c>
      <c r="I172" s="52">
        <f>3380587</f>
        <v>3380587</v>
      </c>
      <c r="J172" s="289" t="s">
        <v>115</v>
      </c>
      <c r="K172" s="53">
        <v>3643686</v>
      </c>
      <c r="L172" s="53"/>
      <c r="M172" s="53"/>
      <c r="N172" s="53"/>
      <c r="O172" s="53"/>
      <c r="P172" s="53"/>
      <c r="Q172" s="131">
        <f t="shared" si="50"/>
        <v>7024273</v>
      </c>
      <c r="R172" s="52">
        <v>3412738.85</v>
      </c>
      <c r="S172" s="52"/>
      <c r="T172" s="52"/>
      <c r="U172" s="52"/>
      <c r="V172" s="52"/>
      <c r="W172" s="52">
        <v>1308836.23</v>
      </c>
      <c r="X172" s="52"/>
      <c r="Y172" s="52"/>
      <c r="Z172" s="52"/>
      <c r="AA172" s="52"/>
      <c r="AB172" s="52"/>
      <c r="AC172" s="52"/>
      <c r="AD172" s="34">
        <f t="shared" si="61"/>
        <v>4721575.08</v>
      </c>
      <c r="AE172" s="52">
        <f t="shared" si="62"/>
        <v>2302697.92</v>
      </c>
      <c r="AF172" s="132">
        <f t="shared" si="56"/>
        <v>67.2179893919271</v>
      </c>
    </row>
    <row r="173" spans="2:32" s="42" customFormat="1" ht="29.25" customHeight="1">
      <c r="B173" s="129"/>
      <c r="C173" s="43"/>
      <c r="D173" s="30">
        <v>6059</v>
      </c>
      <c r="E173" s="32" t="s">
        <v>472</v>
      </c>
      <c r="F173" s="52">
        <v>2262284</v>
      </c>
      <c r="G173" s="51">
        <f>2100222+261898</f>
        <v>2362120</v>
      </c>
      <c r="H173" s="52">
        <f>2100222+261898</f>
        <v>2362120</v>
      </c>
      <c r="I173" s="52">
        <f>2100222+261898</f>
        <v>2362120</v>
      </c>
      <c r="J173" s="289" t="s">
        <v>116</v>
      </c>
      <c r="K173" s="53">
        <v>2106409</v>
      </c>
      <c r="L173" s="53"/>
      <c r="M173" s="53"/>
      <c r="N173" s="53"/>
      <c r="O173" s="53"/>
      <c r="P173" s="53"/>
      <c r="Q173" s="131">
        <f t="shared" si="50"/>
        <v>4468529</v>
      </c>
      <c r="R173" s="52">
        <v>2120195.77</v>
      </c>
      <c r="S173" s="52"/>
      <c r="T173" s="52"/>
      <c r="U173" s="52">
        <v>4575</v>
      </c>
      <c r="V173" s="52"/>
      <c r="W173" s="52">
        <v>813126.7</v>
      </c>
      <c r="X173" s="52"/>
      <c r="Y173" s="52"/>
      <c r="Z173" s="52"/>
      <c r="AA173" s="52"/>
      <c r="AB173" s="52"/>
      <c r="AC173" s="52"/>
      <c r="AD173" s="34">
        <f t="shared" si="61"/>
        <v>2937897.4699999997</v>
      </c>
      <c r="AE173" s="52">
        <f t="shared" si="62"/>
        <v>1530631.5300000003</v>
      </c>
      <c r="AF173" s="132">
        <f t="shared" si="56"/>
        <v>65.74641162673444</v>
      </c>
    </row>
    <row r="174" spans="2:32" s="42" customFormat="1" ht="12.75">
      <c r="B174" s="129"/>
      <c r="C174" s="43">
        <v>80113</v>
      </c>
      <c r="D174" s="43"/>
      <c r="E174" s="45" t="s">
        <v>447</v>
      </c>
      <c r="F174" s="48">
        <f>SUM(F175:F181)</f>
        <v>327470</v>
      </c>
      <c r="G174" s="46">
        <f>SUM(G175:G181)</f>
        <v>300550</v>
      </c>
      <c r="H174" s="48">
        <f>SUM(H175:H181)</f>
        <v>285850</v>
      </c>
      <c r="I174" s="48">
        <f>SUM(I175:I181)</f>
        <v>285850</v>
      </c>
      <c r="J174" s="289"/>
      <c r="K174" s="49">
        <f aca="true" t="shared" si="63" ref="K174:Z174">SUM(K175:K181)</f>
        <v>0</v>
      </c>
      <c r="L174" s="49">
        <f t="shared" si="63"/>
        <v>0</v>
      </c>
      <c r="M174" s="49">
        <f t="shared" si="63"/>
        <v>0</v>
      </c>
      <c r="N174" s="49">
        <f t="shared" si="63"/>
        <v>6200</v>
      </c>
      <c r="O174" s="49">
        <f t="shared" si="63"/>
        <v>0</v>
      </c>
      <c r="P174" s="49">
        <f t="shared" si="63"/>
        <v>0</v>
      </c>
      <c r="Q174" s="40">
        <f t="shared" si="63"/>
        <v>292050</v>
      </c>
      <c r="R174" s="48">
        <f t="shared" si="63"/>
        <v>31101</v>
      </c>
      <c r="S174" s="48">
        <f t="shared" si="63"/>
        <v>35028.729999999996</v>
      </c>
      <c r="T174" s="48">
        <f t="shared" si="63"/>
        <v>20420.52</v>
      </c>
      <c r="U174" s="48">
        <f t="shared" si="63"/>
        <v>42368.11</v>
      </c>
      <c r="V174" s="48">
        <f t="shared" si="63"/>
        <v>30291.899999999998</v>
      </c>
      <c r="W174" s="48">
        <f t="shared" si="63"/>
        <v>66345.56</v>
      </c>
      <c r="X174" s="48">
        <f t="shared" si="63"/>
        <v>0</v>
      </c>
      <c r="Y174" s="48">
        <f t="shared" si="63"/>
        <v>0</v>
      </c>
      <c r="Z174" s="48">
        <f t="shared" si="63"/>
        <v>0</v>
      </c>
      <c r="AA174" s="48">
        <f>SUM(AA175:AA181)</f>
        <v>0</v>
      </c>
      <c r="AB174" s="48">
        <f>SUM(AB175:AB181)</f>
        <v>0</v>
      </c>
      <c r="AC174" s="48">
        <f>SUM(AC175:AC181)</f>
        <v>0</v>
      </c>
      <c r="AD174" s="48">
        <f>SUM(AD175:AD181)</f>
        <v>225555.81999999998</v>
      </c>
      <c r="AE174" s="48">
        <f>SUM(AE175:AE181)</f>
        <v>66494.18000000004</v>
      </c>
      <c r="AF174" s="130">
        <f t="shared" si="56"/>
        <v>77.23191919191918</v>
      </c>
    </row>
    <row r="175" spans="2:32" s="42" customFormat="1" ht="27.75" customHeight="1">
      <c r="B175" s="129"/>
      <c r="C175" s="43"/>
      <c r="D175" s="30">
        <v>3020</v>
      </c>
      <c r="E175" s="32" t="s">
        <v>493</v>
      </c>
      <c r="F175" s="52">
        <v>0</v>
      </c>
      <c r="G175" s="51">
        <v>250</v>
      </c>
      <c r="H175" s="52">
        <v>250</v>
      </c>
      <c r="I175" s="52">
        <v>250</v>
      </c>
      <c r="J175" s="287" t="s">
        <v>245</v>
      </c>
      <c r="K175" s="53"/>
      <c r="L175" s="53"/>
      <c r="M175" s="53"/>
      <c r="N175" s="53"/>
      <c r="O175" s="53"/>
      <c r="P175" s="53"/>
      <c r="Q175" s="131">
        <f t="shared" si="50"/>
        <v>250</v>
      </c>
      <c r="R175" s="52"/>
      <c r="S175" s="52"/>
      <c r="T175" s="52"/>
      <c r="U175" s="52">
        <v>31.62</v>
      </c>
      <c r="V175" s="52"/>
      <c r="W175" s="52"/>
      <c r="X175" s="52"/>
      <c r="Y175" s="52"/>
      <c r="Z175" s="52"/>
      <c r="AA175" s="52"/>
      <c r="AB175" s="52"/>
      <c r="AC175" s="52"/>
      <c r="AD175" s="34">
        <f aca="true" t="shared" si="64" ref="AD175:AD181">SUM(R175:AC175)</f>
        <v>31.62</v>
      </c>
      <c r="AE175" s="52">
        <f aca="true" t="shared" si="65" ref="AE175:AE181">Q175-AD175</f>
        <v>218.38</v>
      </c>
      <c r="AF175" s="132">
        <f t="shared" si="56"/>
        <v>12.648</v>
      </c>
    </row>
    <row r="176" spans="2:32" s="42" customFormat="1" ht="30.75" customHeight="1">
      <c r="B176" s="129"/>
      <c r="C176" s="43"/>
      <c r="D176" s="30">
        <v>4010</v>
      </c>
      <c r="E176" s="32" t="s">
        <v>487</v>
      </c>
      <c r="F176" s="52">
        <v>30600</v>
      </c>
      <c r="G176" s="51">
        <v>24000</v>
      </c>
      <c r="H176" s="52">
        <v>12000</v>
      </c>
      <c r="I176" s="52">
        <v>12000</v>
      </c>
      <c r="J176" s="556" t="s">
        <v>386</v>
      </c>
      <c r="K176" s="53"/>
      <c r="L176" s="53"/>
      <c r="M176" s="53">
        <v>102.5</v>
      </c>
      <c r="N176" s="53">
        <v>4999.5</v>
      </c>
      <c r="O176" s="53"/>
      <c r="P176" s="53"/>
      <c r="Q176" s="131">
        <f t="shared" si="50"/>
        <v>17102</v>
      </c>
      <c r="R176" s="52">
        <v>2074.59</v>
      </c>
      <c r="S176" s="52">
        <v>1984.24</v>
      </c>
      <c r="T176" s="52">
        <v>1920.2</v>
      </c>
      <c r="U176" s="52">
        <v>2040.72</v>
      </c>
      <c r="V176" s="52">
        <v>2116.72</v>
      </c>
      <c r="W176" s="52">
        <v>2078.72</v>
      </c>
      <c r="X176" s="52"/>
      <c r="Y176" s="52"/>
      <c r="Z176" s="52"/>
      <c r="AA176" s="52"/>
      <c r="AB176" s="52"/>
      <c r="AC176" s="52"/>
      <c r="AD176" s="34">
        <f t="shared" si="64"/>
        <v>12215.189999999999</v>
      </c>
      <c r="AE176" s="52">
        <f t="shared" si="65"/>
        <v>4886.810000000001</v>
      </c>
      <c r="AF176" s="132">
        <f t="shared" si="56"/>
        <v>71.42550578879661</v>
      </c>
    </row>
    <row r="177" spans="2:32" s="42" customFormat="1" ht="25.5">
      <c r="B177" s="129"/>
      <c r="C177" s="43"/>
      <c r="D177" s="30">
        <v>4040</v>
      </c>
      <c r="E177" s="32" t="s">
        <v>494</v>
      </c>
      <c r="F177" s="52">
        <v>0</v>
      </c>
      <c r="G177" s="51">
        <v>2200</v>
      </c>
      <c r="H177" s="52">
        <v>2200</v>
      </c>
      <c r="I177" s="52">
        <v>2200</v>
      </c>
      <c r="J177" s="558"/>
      <c r="K177" s="53"/>
      <c r="L177" s="53"/>
      <c r="M177" s="51">
        <v>-102.5</v>
      </c>
      <c r="N177" s="53">
        <v>0.5</v>
      </c>
      <c r="O177" s="53"/>
      <c r="P177" s="53"/>
      <c r="Q177" s="131">
        <f t="shared" si="50"/>
        <v>2098</v>
      </c>
      <c r="R177" s="52"/>
      <c r="S177" s="52"/>
      <c r="T177" s="52">
        <v>1363.83</v>
      </c>
      <c r="U177" s="52">
        <v>733.63</v>
      </c>
      <c r="V177" s="52"/>
      <c r="W177" s="52"/>
      <c r="X177" s="52"/>
      <c r="Y177" s="52"/>
      <c r="Z177" s="52"/>
      <c r="AA177" s="52"/>
      <c r="AB177" s="52"/>
      <c r="AC177" s="52"/>
      <c r="AD177" s="34">
        <f t="shared" si="64"/>
        <v>2097.46</v>
      </c>
      <c r="AE177" s="52">
        <f t="shared" si="65"/>
        <v>0.5399999999999636</v>
      </c>
      <c r="AF177" s="132">
        <f t="shared" si="56"/>
        <v>99.97426120114395</v>
      </c>
    </row>
    <row r="178" spans="2:32" s="42" customFormat="1" ht="27" customHeight="1">
      <c r="B178" s="129"/>
      <c r="C178" s="43"/>
      <c r="D178" s="30">
        <v>4110</v>
      </c>
      <c r="E178" s="32" t="s">
        <v>488</v>
      </c>
      <c r="F178" s="52">
        <v>5550</v>
      </c>
      <c r="G178" s="51">
        <v>5000</v>
      </c>
      <c r="H178" s="52">
        <v>2600</v>
      </c>
      <c r="I178" s="52">
        <v>2600</v>
      </c>
      <c r="J178" s="558"/>
      <c r="K178" s="53"/>
      <c r="L178" s="53"/>
      <c r="M178" s="53"/>
      <c r="N178" s="53">
        <v>1000</v>
      </c>
      <c r="O178" s="53"/>
      <c r="P178" s="53"/>
      <c r="Q178" s="131">
        <f t="shared" si="50"/>
        <v>3600</v>
      </c>
      <c r="R178" s="52">
        <v>373.96</v>
      </c>
      <c r="S178" s="52">
        <v>373.96</v>
      </c>
      <c r="T178" s="52">
        <v>245.01</v>
      </c>
      <c r="U178" s="52">
        <v>751.3</v>
      </c>
      <c r="V178" s="52">
        <v>360.45</v>
      </c>
      <c r="W178" s="52">
        <v>360.45</v>
      </c>
      <c r="X178" s="52"/>
      <c r="Y178" s="52"/>
      <c r="Z178" s="52"/>
      <c r="AA178" s="52"/>
      <c r="AB178" s="52"/>
      <c r="AC178" s="52"/>
      <c r="AD178" s="34">
        <f t="shared" si="64"/>
        <v>2465.1299999999997</v>
      </c>
      <c r="AE178" s="52">
        <f t="shared" si="65"/>
        <v>1134.8700000000003</v>
      </c>
      <c r="AF178" s="132">
        <f t="shared" si="56"/>
        <v>68.47583333333333</v>
      </c>
    </row>
    <row r="179" spans="2:32" s="42" customFormat="1" ht="15.75" customHeight="1">
      <c r="B179" s="129"/>
      <c r="C179" s="43"/>
      <c r="D179" s="30">
        <v>4120</v>
      </c>
      <c r="E179" s="32" t="s">
        <v>495</v>
      </c>
      <c r="F179" s="52">
        <v>800</v>
      </c>
      <c r="G179" s="51">
        <v>600</v>
      </c>
      <c r="H179" s="52">
        <v>300</v>
      </c>
      <c r="I179" s="52">
        <v>300</v>
      </c>
      <c r="J179" s="557"/>
      <c r="K179" s="53"/>
      <c r="L179" s="53"/>
      <c r="M179" s="53"/>
      <c r="N179" s="53">
        <v>200</v>
      </c>
      <c r="O179" s="53"/>
      <c r="P179" s="53"/>
      <c r="Q179" s="131">
        <f aca="true" t="shared" si="66" ref="Q179:Q197">I179+K179+L179+M179+N179+O179+P179</f>
        <v>500</v>
      </c>
      <c r="R179" s="52">
        <v>50.93</v>
      </c>
      <c r="S179" s="52">
        <v>50.93</v>
      </c>
      <c r="T179" s="52">
        <v>33.37</v>
      </c>
      <c r="U179" s="52">
        <v>102.33</v>
      </c>
      <c r="V179" s="52">
        <v>50.93</v>
      </c>
      <c r="W179" s="52">
        <v>50.93</v>
      </c>
      <c r="X179" s="52"/>
      <c r="Y179" s="52"/>
      <c r="Z179" s="52"/>
      <c r="AA179" s="52"/>
      <c r="AB179" s="52"/>
      <c r="AC179" s="52"/>
      <c r="AD179" s="34">
        <f t="shared" si="64"/>
        <v>339.42</v>
      </c>
      <c r="AE179" s="52">
        <f t="shared" si="65"/>
        <v>160.57999999999998</v>
      </c>
      <c r="AF179" s="132">
        <f t="shared" si="56"/>
        <v>67.884</v>
      </c>
    </row>
    <row r="180" spans="2:32" s="42" customFormat="1" ht="13.5" customHeight="1">
      <c r="B180" s="129"/>
      <c r="C180" s="30"/>
      <c r="D180" s="30">
        <v>4300</v>
      </c>
      <c r="E180" s="32" t="s">
        <v>471</v>
      </c>
      <c r="F180" s="52">
        <v>289050</v>
      </c>
      <c r="G180" s="51">
        <v>267000</v>
      </c>
      <c r="H180" s="52">
        <v>267000</v>
      </c>
      <c r="I180" s="52">
        <v>267000</v>
      </c>
      <c r="J180" s="289" t="s">
        <v>246</v>
      </c>
      <c r="K180" s="53"/>
      <c r="L180" s="53"/>
      <c r="M180" s="53"/>
      <c r="N180" s="53"/>
      <c r="O180" s="53"/>
      <c r="P180" s="53"/>
      <c r="Q180" s="131">
        <f t="shared" si="66"/>
        <v>267000</v>
      </c>
      <c r="R180" s="52">
        <v>28601.52</v>
      </c>
      <c r="S180" s="52">
        <v>32619.6</v>
      </c>
      <c r="T180" s="52">
        <v>16858.11</v>
      </c>
      <c r="U180" s="52">
        <v>37583.51</v>
      </c>
      <c r="V180" s="52">
        <v>27763.8</v>
      </c>
      <c r="W180" s="52">
        <v>63855.46</v>
      </c>
      <c r="X180" s="52"/>
      <c r="Y180" s="52"/>
      <c r="Z180" s="52"/>
      <c r="AA180" s="52"/>
      <c r="AB180" s="52"/>
      <c r="AC180" s="52"/>
      <c r="AD180" s="34">
        <f t="shared" si="64"/>
        <v>207281.99999999997</v>
      </c>
      <c r="AE180" s="52">
        <f t="shared" si="65"/>
        <v>59718.00000000003</v>
      </c>
      <c r="AF180" s="132">
        <f t="shared" si="56"/>
        <v>77.63370786516853</v>
      </c>
    </row>
    <row r="181" spans="2:32" s="42" customFormat="1" ht="30.75" customHeight="1">
      <c r="B181" s="129"/>
      <c r="C181" s="30"/>
      <c r="D181" s="30">
        <v>4440</v>
      </c>
      <c r="E181" s="32" t="s">
        <v>498</v>
      </c>
      <c r="F181" s="52">
        <v>1470</v>
      </c>
      <c r="G181" s="51">
        <v>1500</v>
      </c>
      <c r="H181" s="52">
        <v>1500</v>
      </c>
      <c r="I181" s="52">
        <v>1500</v>
      </c>
      <c r="J181" s="289" t="s">
        <v>379</v>
      </c>
      <c r="K181" s="53"/>
      <c r="L181" s="53"/>
      <c r="M181" s="53"/>
      <c r="N181" s="53"/>
      <c r="O181" s="53"/>
      <c r="P181" s="53"/>
      <c r="Q181" s="131">
        <f t="shared" si="66"/>
        <v>1500</v>
      </c>
      <c r="R181" s="52"/>
      <c r="S181" s="52"/>
      <c r="T181" s="52"/>
      <c r="U181" s="52">
        <v>1125</v>
      </c>
      <c r="V181" s="52"/>
      <c r="W181" s="52"/>
      <c r="X181" s="52"/>
      <c r="Y181" s="52"/>
      <c r="Z181" s="52"/>
      <c r="AA181" s="52"/>
      <c r="AB181" s="52"/>
      <c r="AC181" s="52"/>
      <c r="AD181" s="34">
        <f t="shared" si="64"/>
        <v>1125</v>
      </c>
      <c r="AE181" s="52">
        <f t="shared" si="65"/>
        <v>375</v>
      </c>
      <c r="AF181" s="132">
        <f t="shared" si="56"/>
        <v>75</v>
      </c>
    </row>
    <row r="182" spans="2:32" s="42" customFormat="1" ht="28.5" customHeight="1">
      <c r="B182" s="129"/>
      <c r="C182" s="43">
        <v>80114</v>
      </c>
      <c r="D182" s="43"/>
      <c r="E182" s="45" t="s">
        <v>538</v>
      </c>
      <c r="F182" s="48">
        <f>SUM(F183:F192)</f>
        <v>169980</v>
      </c>
      <c r="G182" s="46">
        <f>SUM(G183:G192)</f>
        <v>173600</v>
      </c>
      <c r="H182" s="48">
        <f>SUM(H183:H192)</f>
        <v>168600</v>
      </c>
      <c r="I182" s="48">
        <f>SUM(I183:I192)</f>
        <v>168600</v>
      </c>
      <c r="J182" s="289"/>
      <c r="K182" s="49">
        <f aca="true" t="shared" si="67" ref="K182:Z182">SUM(K183:K192)</f>
        <v>0</v>
      </c>
      <c r="L182" s="49">
        <f t="shared" si="67"/>
        <v>0</v>
      </c>
      <c r="M182" s="49">
        <f t="shared" si="67"/>
        <v>0</v>
      </c>
      <c r="N182" s="49">
        <f t="shared" si="67"/>
        <v>0</v>
      </c>
      <c r="O182" s="49">
        <f t="shared" si="67"/>
        <v>0</v>
      </c>
      <c r="P182" s="49">
        <f t="shared" si="67"/>
        <v>0</v>
      </c>
      <c r="Q182" s="40">
        <f t="shared" si="67"/>
        <v>168600</v>
      </c>
      <c r="R182" s="48">
        <f t="shared" si="67"/>
        <v>12110.189999999999</v>
      </c>
      <c r="S182" s="48">
        <f t="shared" si="67"/>
        <v>11661.55</v>
      </c>
      <c r="T182" s="48">
        <f t="shared" si="67"/>
        <v>18502.149999999998</v>
      </c>
      <c r="U182" s="48">
        <f t="shared" si="67"/>
        <v>18505.61</v>
      </c>
      <c r="V182" s="48">
        <f t="shared" si="67"/>
        <v>13561.55</v>
      </c>
      <c r="W182" s="48">
        <f t="shared" si="67"/>
        <v>13696.2</v>
      </c>
      <c r="X182" s="48">
        <f t="shared" si="67"/>
        <v>0</v>
      </c>
      <c r="Y182" s="48">
        <f t="shared" si="67"/>
        <v>0</v>
      </c>
      <c r="Z182" s="48">
        <f t="shared" si="67"/>
        <v>0</v>
      </c>
      <c r="AA182" s="48">
        <f>SUM(AA183:AA192)</f>
        <v>0</v>
      </c>
      <c r="AB182" s="48">
        <f>SUM(AB183:AB192)</f>
        <v>0</v>
      </c>
      <c r="AC182" s="48">
        <f>SUM(AC183:AC192)</f>
        <v>0</v>
      </c>
      <c r="AD182" s="48">
        <f>SUM(AD183:AD192)</f>
        <v>88037.24999999999</v>
      </c>
      <c r="AE182" s="48">
        <f>SUM(AE183:AE192)</f>
        <v>80562.75000000001</v>
      </c>
      <c r="AF182" s="130">
        <f t="shared" si="56"/>
        <v>52.216637010676145</v>
      </c>
    </row>
    <row r="183" spans="2:32" s="42" customFormat="1" ht="25.5">
      <c r="B183" s="129"/>
      <c r="C183" s="30"/>
      <c r="D183" s="30">
        <v>3020</v>
      </c>
      <c r="E183" s="32" t="s">
        <v>493</v>
      </c>
      <c r="F183" s="52">
        <v>320</v>
      </c>
      <c r="G183" s="51">
        <v>400</v>
      </c>
      <c r="H183" s="52">
        <v>400</v>
      </c>
      <c r="I183" s="52">
        <v>400</v>
      </c>
      <c r="J183" s="289" t="s">
        <v>387</v>
      </c>
      <c r="K183" s="53"/>
      <c r="L183" s="53"/>
      <c r="M183" s="53"/>
      <c r="N183" s="53"/>
      <c r="O183" s="53"/>
      <c r="P183" s="53"/>
      <c r="Q183" s="131">
        <f t="shared" si="66"/>
        <v>400</v>
      </c>
      <c r="R183" s="52"/>
      <c r="S183" s="52"/>
      <c r="T183" s="52"/>
      <c r="U183" s="52">
        <v>47.43</v>
      </c>
      <c r="V183" s="52"/>
      <c r="W183" s="52"/>
      <c r="X183" s="52"/>
      <c r="Y183" s="52"/>
      <c r="Z183" s="52"/>
      <c r="AA183" s="52"/>
      <c r="AB183" s="52"/>
      <c r="AC183" s="52"/>
      <c r="AD183" s="34">
        <f aca="true" t="shared" si="68" ref="AD183:AD194">SUM(R183:AC183)</f>
        <v>47.43</v>
      </c>
      <c r="AE183" s="52">
        <f aca="true" t="shared" si="69" ref="AE183:AE194">Q183-AD183</f>
        <v>352.57</v>
      </c>
      <c r="AF183" s="132">
        <f t="shared" si="56"/>
        <v>11.8575</v>
      </c>
    </row>
    <row r="184" spans="2:32" s="42" customFormat="1" ht="33" customHeight="1">
      <c r="B184" s="129"/>
      <c r="C184" s="30"/>
      <c r="D184" s="30">
        <v>4010</v>
      </c>
      <c r="E184" s="32" t="s">
        <v>487</v>
      </c>
      <c r="F184" s="52">
        <v>106300</v>
      </c>
      <c r="G184" s="51">
        <v>113000</v>
      </c>
      <c r="H184" s="52">
        <v>111000</v>
      </c>
      <c r="I184" s="52">
        <v>111000</v>
      </c>
      <c r="J184" s="289" t="s">
        <v>247</v>
      </c>
      <c r="K184" s="53"/>
      <c r="L184" s="53"/>
      <c r="M184" s="53"/>
      <c r="N184" s="53"/>
      <c r="O184" s="53"/>
      <c r="P184" s="53"/>
      <c r="Q184" s="131">
        <f t="shared" si="66"/>
        <v>111000</v>
      </c>
      <c r="R184" s="52">
        <v>9237.54</v>
      </c>
      <c r="S184" s="52">
        <v>8839.93</v>
      </c>
      <c r="T184" s="52">
        <v>8659.56</v>
      </c>
      <c r="U184" s="52">
        <v>9012.93</v>
      </c>
      <c r="V184" s="52">
        <v>10373.94</v>
      </c>
      <c r="W184" s="52">
        <v>9724.73</v>
      </c>
      <c r="X184" s="52"/>
      <c r="Y184" s="52"/>
      <c r="Z184" s="52"/>
      <c r="AA184" s="52"/>
      <c r="AB184" s="52"/>
      <c r="AC184" s="52"/>
      <c r="AD184" s="34">
        <f t="shared" si="68"/>
        <v>55848.630000000005</v>
      </c>
      <c r="AE184" s="52">
        <f t="shared" si="69"/>
        <v>55151.369999999995</v>
      </c>
      <c r="AF184" s="132">
        <f t="shared" si="56"/>
        <v>50.31408108108108</v>
      </c>
    </row>
    <row r="185" spans="2:32" s="42" customFormat="1" ht="25.5">
      <c r="B185" s="129"/>
      <c r="C185" s="30"/>
      <c r="D185" s="30">
        <v>4040</v>
      </c>
      <c r="E185" s="32" t="s">
        <v>494</v>
      </c>
      <c r="F185" s="52">
        <v>7730</v>
      </c>
      <c r="G185" s="51">
        <v>8200</v>
      </c>
      <c r="H185" s="52">
        <v>8200</v>
      </c>
      <c r="I185" s="52">
        <v>8200</v>
      </c>
      <c r="J185" s="289"/>
      <c r="K185" s="53"/>
      <c r="L185" s="53"/>
      <c r="M185" s="51">
        <v>-17</v>
      </c>
      <c r="N185" s="53"/>
      <c r="O185" s="53"/>
      <c r="P185" s="53"/>
      <c r="Q185" s="131">
        <f t="shared" si="66"/>
        <v>8183</v>
      </c>
      <c r="R185" s="52"/>
      <c r="S185" s="52"/>
      <c r="T185" s="52">
        <v>5307.98</v>
      </c>
      <c r="U185" s="52">
        <v>2874.54</v>
      </c>
      <c r="V185" s="52"/>
      <c r="W185" s="52"/>
      <c r="X185" s="52"/>
      <c r="Y185" s="52"/>
      <c r="Z185" s="52"/>
      <c r="AA185" s="52"/>
      <c r="AB185" s="52"/>
      <c r="AC185" s="52"/>
      <c r="AD185" s="34">
        <f t="shared" si="68"/>
        <v>8182.5199999999995</v>
      </c>
      <c r="AE185" s="52">
        <f t="shared" si="69"/>
        <v>0.48000000000047294</v>
      </c>
      <c r="AF185" s="132">
        <f t="shared" si="56"/>
        <v>99.99413418061836</v>
      </c>
    </row>
    <row r="186" spans="2:32" s="42" customFormat="1" ht="27" customHeight="1">
      <c r="B186" s="129"/>
      <c r="C186" s="30"/>
      <c r="D186" s="30">
        <v>4110</v>
      </c>
      <c r="E186" s="32" t="s">
        <v>488</v>
      </c>
      <c r="F186" s="52">
        <v>20600</v>
      </c>
      <c r="G186" s="51">
        <v>22200</v>
      </c>
      <c r="H186" s="52">
        <v>22200</v>
      </c>
      <c r="I186" s="52">
        <v>22200</v>
      </c>
      <c r="J186" s="289"/>
      <c r="K186" s="53"/>
      <c r="L186" s="53"/>
      <c r="M186" s="53"/>
      <c r="N186" s="53"/>
      <c r="O186" s="53"/>
      <c r="P186" s="53"/>
      <c r="Q186" s="131">
        <f t="shared" si="66"/>
        <v>22200</v>
      </c>
      <c r="R186" s="52">
        <v>1744.87</v>
      </c>
      <c r="S186" s="52">
        <v>1506.33</v>
      </c>
      <c r="T186" s="52">
        <v>1790.01</v>
      </c>
      <c r="U186" s="52">
        <v>2821.31</v>
      </c>
      <c r="V186" s="52">
        <v>1650.75</v>
      </c>
      <c r="W186" s="52">
        <v>2432.46</v>
      </c>
      <c r="X186" s="52"/>
      <c r="Y186" s="52"/>
      <c r="Z186" s="52"/>
      <c r="AA186" s="52"/>
      <c r="AB186" s="52"/>
      <c r="AC186" s="52"/>
      <c r="AD186" s="34">
        <f t="shared" si="68"/>
        <v>11945.73</v>
      </c>
      <c r="AE186" s="52">
        <f t="shared" si="69"/>
        <v>10254.27</v>
      </c>
      <c r="AF186" s="132">
        <f t="shared" si="56"/>
        <v>53.80959459459459</v>
      </c>
    </row>
    <row r="187" spans="2:32" s="42" customFormat="1" ht="14.25" customHeight="1">
      <c r="B187" s="129"/>
      <c r="C187" s="30"/>
      <c r="D187" s="30">
        <v>4120</v>
      </c>
      <c r="E187" s="32" t="s">
        <v>495</v>
      </c>
      <c r="F187" s="52">
        <v>2880</v>
      </c>
      <c r="G187" s="51">
        <v>3000</v>
      </c>
      <c r="H187" s="52">
        <v>3000</v>
      </c>
      <c r="I187" s="52">
        <v>3000</v>
      </c>
      <c r="J187" s="289"/>
      <c r="K187" s="53"/>
      <c r="L187" s="53"/>
      <c r="M187" s="53"/>
      <c r="N187" s="53"/>
      <c r="O187" s="53"/>
      <c r="P187" s="53"/>
      <c r="Q187" s="131">
        <f t="shared" si="66"/>
        <v>3000</v>
      </c>
      <c r="R187" s="52">
        <v>248.42</v>
      </c>
      <c r="S187" s="52">
        <v>214.46</v>
      </c>
      <c r="T187" s="52">
        <v>217.91</v>
      </c>
      <c r="U187" s="52">
        <v>408.87</v>
      </c>
      <c r="V187" s="52">
        <v>229.5</v>
      </c>
      <c r="W187" s="52">
        <v>226.45</v>
      </c>
      <c r="X187" s="52"/>
      <c r="Y187" s="52"/>
      <c r="Z187" s="52"/>
      <c r="AA187" s="52"/>
      <c r="AB187" s="52"/>
      <c r="AC187" s="52"/>
      <c r="AD187" s="34">
        <f t="shared" si="68"/>
        <v>1545.61</v>
      </c>
      <c r="AE187" s="52">
        <f t="shared" si="69"/>
        <v>1454.39</v>
      </c>
      <c r="AF187" s="132">
        <f t="shared" si="56"/>
        <v>51.52033333333333</v>
      </c>
    </row>
    <row r="188" spans="2:32" s="42" customFormat="1" ht="24.75" customHeight="1">
      <c r="B188" s="129"/>
      <c r="C188" s="30"/>
      <c r="D188" s="30">
        <v>4210</v>
      </c>
      <c r="E188" s="32" t="s">
        <v>469</v>
      </c>
      <c r="F188" s="52">
        <v>20020</v>
      </c>
      <c r="G188" s="51">
        <v>13000</v>
      </c>
      <c r="H188" s="52">
        <v>10000</v>
      </c>
      <c r="I188" s="52">
        <v>10000</v>
      </c>
      <c r="J188" s="289" t="s">
        <v>248</v>
      </c>
      <c r="K188" s="53"/>
      <c r="L188" s="53"/>
      <c r="M188" s="53">
        <v>17</v>
      </c>
      <c r="N188" s="53"/>
      <c r="O188" s="53"/>
      <c r="P188" s="53"/>
      <c r="Q188" s="131">
        <f t="shared" si="66"/>
        <v>10017</v>
      </c>
      <c r="R188" s="52">
        <v>164.56</v>
      </c>
      <c r="S188" s="52">
        <v>683.81</v>
      </c>
      <c r="T188" s="52">
        <v>445.09</v>
      </c>
      <c r="U188" s="52">
        <v>608.3</v>
      </c>
      <c r="V188" s="52">
        <v>333.89</v>
      </c>
      <c r="W188" s="52">
        <v>454.78</v>
      </c>
      <c r="X188" s="52"/>
      <c r="Y188" s="52"/>
      <c r="Z188" s="52"/>
      <c r="AA188" s="52"/>
      <c r="AB188" s="52"/>
      <c r="AC188" s="52"/>
      <c r="AD188" s="34">
        <f t="shared" si="68"/>
        <v>2690.4299999999994</v>
      </c>
      <c r="AE188" s="52">
        <f t="shared" si="69"/>
        <v>7326.570000000001</v>
      </c>
      <c r="AF188" s="132">
        <f t="shared" si="56"/>
        <v>26.858640311470495</v>
      </c>
    </row>
    <row r="189" spans="2:32" s="42" customFormat="1" ht="17.25" customHeight="1">
      <c r="B189" s="129"/>
      <c r="C189" s="30"/>
      <c r="D189" s="30">
        <v>4270</v>
      </c>
      <c r="E189" s="32" t="s">
        <v>470</v>
      </c>
      <c r="F189" s="52">
        <v>2800</v>
      </c>
      <c r="G189" s="51">
        <v>3500</v>
      </c>
      <c r="H189" s="52">
        <v>3500</v>
      </c>
      <c r="I189" s="52">
        <v>3500</v>
      </c>
      <c r="J189" s="289" t="s">
        <v>388</v>
      </c>
      <c r="K189" s="53"/>
      <c r="L189" s="53"/>
      <c r="M189" s="53"/>
      <c r="N189" s="53"/>
      <c r="O189" s="53"/>
      <c r="P189" s="53"/>
      <c r="Q189" s="131">
        <f t="shared" si="66"/>
        <v>3500</v>
      </c>
      <c r="R189" s="52">
        <v>122</v>
      </c>
      <c r="S189" s="52"/>
      <c r="T189" s="52">
        <v>597.8</v>
      </c>
      <c r="U189" s="52"/>
      <c r="V189" s="52">
        <v>463.6</v>
      </c>
      <c r="W189" s="52">
        <v>244</v>
      </c>
      <c r="X189" s="52"/>
      <c r="Y189" s="52"/>
      <c r="Z189" s="52"/>
      <c r="AA189" s="52"/>
      <c r="AB189" s="52"/>
      <c r="AC189" s="52"/>
      <c r="AD189" s="34">
        <f t="shared" si="68"/>
        <v>1427.4</v>
      </c>
      <c r="AE189" s="52">
        <f t="shared" si="69"/>
        <v>2072.6</v>
      </c>
      <c r="AF189" s="132">
        <f t="shared" si="56"/>
        <v>40.78285714285714</v>
      </c>
    </row>
    <row r="190" spans="2:32" s="42" customFormat="1" ht="21" customHeight="1">
      <c r="B190" s="129"/>
      <c r="C190" s="30"/>
      <c r="D190" s="30">
        <v>4300</v>
      </c>
      <c r="E190" s="32" t="s">
        <v>471</v>
      </c>
      <c r="F190" s="52">
        <v>6000</v>
      </c>
      <c r="G190" s="51">
        <v>7000</v>
      </c>
      <c r="H190" s="52">
        <v>7000</v>
      </c>
      <c r="I190" s="52">
        <v>7000</v>
      </c>
      <c r="J190" s="289" t="s">
        <v>389</v>
      </c>
      <c r="K190" s="53"/>
      <c r="L190" s="53"/>
      <c r="M190" s="53"/>
      <c r="N190" s="53"/>
      <c r="O190" s="53"/>
      <c r="P190" s="53"/>
      <c r="Q190" s="131">
        <f t="shared" si="66"/>
        <v>7000</v>
      </c>
      <c r="R190" s="52">
        <v>559.57</v>
      </c>
      <c r="S190" s="52">
        <v>389.99</v>
      </c>
      <c r="T190" s="52">
        <v>1483.8</v>
      </c>
      <c r="U190" s="52">
        <v>557.23</v>
      </c>
      <c r="V190" s="52">
        <v>476.64</v>
      </c>
      <c r="W190" s="52">
        <v>531.18</v>
      </c>
      <c r="X190" s="52"/>
      <c r="Y190" s="52"/>
      <c r="Z190" s="52"/>
      <c r="AA190" s="52"/>
      <c r="AB190" s="52"/>
      <c r="AC190" s="52"/>
      <c r="AD190" s="34">
        <f t="shared" si="68"/>
        <v>3998.41</v>
      </c>
      <c r="AE190" s="52">
        <f t="shared" si="69"/>
        <v>3001.59</v>
      </c>
      <c r="AF190" s="132">
        <f t="shared" si="56"/>
        <v>57.12014285714286</v>
      </c>
    </row>
    <row r="191" spans="2:32" s="42" customFormat="1" ht="15.75" customHeight="1">
      <c r="B191" s="129"/>
      <c r="C191" s="30"/>
      <c r="D191" s="30">
        <v>4410</v>
      </c>
      <c r="E191" s="32" t="s">
        <v>491</v>
      </c>
      <c r="F191" s="52">
        <v>400</v>
      </c>
      <c r="G191" s="51">
        <v>400</v>
      </c>
      <c r="H191" s="52">
        <v>400</v>
      </c>
      <c r="I191" s="52">
        <v>400</v>
      </c>
      <c r="J191" s="289" t="s">
        <v>390</v>
      </c>
      <c r="K191" s="53"/>
      <c r="L191" s="53"/>
      <c r="M191" s="53"/>
      <c r="N191" s="53"/>
      <c r="O191" s="53"/>
      <c r="P191" s="53"/>
      <c r="Q191" s="131">
        <f t="shared" si="66"/>
        <v>400</v>
      </c>
      <c r="R191" s="52">
        <v>33.23</v>
      </c>
      <c r="S191" s="52">
        <v>27.03</v>
      </c>
      <c r="T191" s="52"/>
      <c r="U191" s="52"/>
      <c r="V191" s="52">
        <v>33.23</v>
      </c>
      <c r="W191" s="52">
        <v>82.6</v>
      </c>
      <c r="X191" s="52"/>
      <c r="Y191" s="52"/>
      <c r="Z191" s="52"/>
      <c r="AA191" s="52"/>
      <c r="AB191" s="52"/>
      <c r="AC191" s="52"/>
      <c r="AD191" s="34">
        <f t="shared" si="68"/>
        <v>176.08999999999997</v>
      </c>
      <c r="AE191" s="52">
        <f t="shared" si="69"/>
        <v>223.91000000000003</v>
      </c>
      <c r="AF191" s="132">
        <f t="shared" si="56"/>
        <v>44.022499999999994</v>
      </c>
    </row>
    <row r="192" spans="2:32" s="42" customFormat="1" ht="29.25" customHeight="1">
      <c r="B192" s="129"/>
      <c r="C192" s="30"/>
      <c r="D192" s="30">
        <v>4440</v>
      </c>
      <c r="E192" s="32" t="s">
        <v>498</v>
      </c>
      <c r="F192" s="52">
        <v>2930</v>
      </c>
      <c r="G192" s="51">
        <v>2900</v>
      </c>
      <c r="H192" s="52">
        <v>2900</v>
      </c>
      <c r="I192" s="52">
        <v>2900</v>
      </c>
      <c r="J192" s="289" t="s">
        <v>379</v>
      </c>
      <c r="K192" s="53"/>
      <c r="L192" s="53"/>
      <c r="M192" s="53"/>
      <c r="N192" s="53"/>
      <c r="O192" s="53"/>
      <c r="P192" s="53"/>
      <c r="Q192" s="131">
        <f t="shared" si="66"/>
        <v>2900</v>
      </c>
      <c r="R192" s="52"/>
      <c r="S192" s="52"/>
      <c r="T192" s="52"/>
      <c r="U192" s="52">
        <v>2175</v>
      </c>
      <c r="V192" s="52"/>
      <c r="W192" s="52"/>
      <c r="X192" s="52"/>
      <c r="Y192" s="52"/>
      <c r="Z192" s="52"/>
      <c r="AA192" s="52"/>
      <c r="AB192" s="52"/>
      <c r="AC192" s="52"/>
      <c r="AD192" s="34">
        <f t="shared" si="68"/>
        <v>2175</v>
      </c>
      <c r="AE192" s="52">
        <f t="shared" si="69"/>
        <v>725</v>
      </c>
      <c r="AF192" s="132">
        <f t="shared" si="56"/>
        <v>75</v>
      </c>
    </row>
    <row r="193" spans="2:32" s="42" customFormat="1" ht="26.25" customHeight="1">
      <c r="B193" s="129"/>
      <c r="C193" s="43">
        <v>80146</v>
      </c>
      <c r="D193" s="43"/>
      <c r="E193" s="45" t="s">
        <v>539</v>
      </c>
      <c r="F193" s="48">
        <f>F195</f>
        <v>22700</v>
      </c>
      <c r="G193" s="46">
        <f>G195</f>
        <v>22850</v>
      </c>
      <c r="H193" s="48">
        <f>H195</f>
        <v>20000</v>
      </c>
      <c r="I193" s="48">
        <f>I195</f>
        <v>20000</v>
      </c>
      <c r="J193" s="556" t="s">
        <v>249</v>
      </c>
      <c r="K193" s="49">
        <f aca="true" t="shared" si="70" ref="K193:Z193">K195</f>
        <v>0</v>
      </c>
      <c r="L193" s="49">
        <f t="shared" si="70"/>
        <v>0</v>
      </c>
      <c r="M193" s="49">
        <f t="shared" si="70"/>
        <v>0</v>
      </c>
      <c r="N193" s="49">
        <f>N195+N194</f>
        <v>1800</v>
      </c>
      <c r="O193" s="49">
        <f t="shared" si="70"/>
        <v>0</v>
      </c>
      <c r="P193" s="49">
        <f t="shared" si="70"/>
        <v>0</v>
      </c>
      <c r="Q193" s="40">
        <f>Q195+Q194</f>
        <v>21800</v>
      </c>
      <c r="R193" s="48">
        <f t="shared" si="70"/>
        <v>0</v>
      </c>
      <c r="S193" s="48">
        <f t="shared" si="70"/>
        <v>0</v>
      </c>
      <c r="T193" s="48">
        <f t="shared" si="70"/>
        <v>6665</v>
      </c>
      <c r="U193" s="48">
        <f t="shared" si="70"/>
        <v>90</v>
      </c>
      <c r="V193" s="48">
        <f t="shared" si="70"/>
        <v>1757.5</v>
      </c>
      <c r="W193" s="48">
        <f>W195+W194</f>
        <v>1825</v>
      </c>
      <c r="X193" s="48">
        <f t="shared" si="70"/>
        <v>0</v>
      </c>
      <c r="Y193" s="48">
        <f t="shared" si="70"/>
        <v>0</v>
      </c>
      <c r="Z193" s="48">
        <f t="shared" si="70"/>
        <v>0</v>
      </c>
      <c r="AA193" s="48">
        <f>AA195</f>
        <v>0</v>
      </c>
      <c r="AB193" s="48">
        <f>AB195</f>
        <v>0</v>
      </c>
      <c r="AC193" s="48">
        <f>AC195</f>
        <v>0</v>
      </c>
      <c r="AD193" s="48">
        <f>AD195+AD194</f>
        <v>10337.5</v>
      </c>
      <c r="AE193" s="48">
        <f>AE195+AE194</f>
        <v>11462.5</v>
      </c>
      <c r="AF193" s="130">
        <f t="shared" si="56"/>
        <v>47.419724770642205</v>
      </c>
    </row>
    <row r="194" spans="2:32" s="42" customFormat="1" ht="15.75" customHeight="1">
      <c r="B194" s="129"/>
      <c r="C194" s="43"/>
      <c r="D194" s="30">
        <v>4170</v>
      </c>
      <c r="E194" s="32" t="s">
        <v>543</v>
      </c>
      <c r="F194" s="48"/>
      <c r="G194" s="46"/>
      <c r="H194" s="48"/>
      <c r="I194" s="48"/>
      <c r="J194" s="558"/>
      <c r="K194" s="49"/>
      <c r="L194" s="49"/>
      <c r="M194" s="49"/>
      <c r="N194" s="88">
        <v>750</v>
      </c>
      <c r="O194" s="49"/>
      <c r="P194" s="49"/>
      <c r="Q194" s="131">
        <f t="shared" si="66"/>
        <v>750</v>
      </c>
      <c r="R194" s="48"/>
      <c r="S194" s="48"/>
      <c r="T194" s="48"/>
      <c r="U194" s="48"/>
      <c r="V194" s="48"/>
      <c r="W194" s="89">
        <v>750</v>
      </c>
      <c r="X194" s="48"/>
      <c r="Y194" s="48"/>
      <c r="Z194" s="48"/>
      <c r="AA194" s="48"/>
      <c r="AB194" s="48"/>
      <c r="AC194" s="48"/>
      <c r="AD194" s="34">
        <f t="shared" si="68"/>
        <v>750</v>
      </c>
      <c r="AE194" s="52">
        <f t="shared" si="69"/>
        <v>0</v>
      </c>
      <c r="AF194" s="132">
        <f t="shared" si="56"/>
        <v>100</v>
      </c>
    </row>
    <row r="195" spans="2:32" s="42" customFormat="1" ht="20.25" customHeight="1">
      <c r="B195" s="129"/>
      <c r="C195" s="30"/>
      <c r="D195" s="30">
        <v>4300</v>
      </c>
      <c r="E195" s="32" t="s">
        <v>471</v>
      </c>
      <c r="F195" s="52">
        <v>22700</v>
      </c>
      <c r="G195" s="51">
        <v>22850</v>
      </c>
      <c r="H195" s="52">
        <v>20000</v>
      </c>
      <c r="I195" s="52">
        <v>20000</v>
      </c>
      <c r="J195" s="557"/>
      <c r="K195" s="53"/>
      <c r="L195" s="53"/>
      <c r="M195" s="53"/>
      <c r="N195" s="53">
        <v>1050</v>
      </c>
      <c r="O195" s="53"/>
      <c r="P195" s="53"/>
      <c r="Q195" s="131">
        <f t="shared" si="66"/>
        <v>21050</v>
      </c>
      <c r="R195" s="52"/>
      <c r="S195" s="52"/>
      <c r="T195" s="52">
        <v>6665</v>
      </c>
      <c r="U195" s="52">
        <v>90</v>
      </c>
      <c r="V195" s="52">
        <v>1757.5</v>
      </c>
      <c r="W195" s="52">
        <v>1075</v>
      </c>
      <c r="X195" s="52"/>
      <c r="Y195" s="52"/>
      <c r="Z195" s="52"/>
      <c r="AA195" s="52"/>
      <c r="AB195" s="52"/>
      <c r="AC195" s="52"/>
      <c r="AD195" s="34">
        <f>SUM(R195:AC195)</f>
        <v>9587.5</v>
      </c>
      <c r="AE195" s="52">
        <f>Q195-AD195</f>
        <v>11462.5</v>
      </c>
      <c r="AF195" s="132">
        <f t="shared" si="56"/>
        <v>45.54631828978622</v>
      </c>
    </row>
    <row r="196" spans="2:32" s="42" customFormat="1" ht="12.75">
      <c r="B196" s="129"/>
      <c r="C196" s="43">
        <v>80195</v>
      </c>
      <c r="D196" s="43"/>
      <c r="E196" s="45" t="s">
        <v>317</v>
      </c>
      <c r="F196" s="48">
        <f>SUM(F198)</f>
        <v>28728</v>
      </c>
      <c r="G196" s="46">
        <f>SUM(G198)</f>
        <v>35055</v>
      </c>
      <c r="H196" s="48">
        <f>SUM(H198)</f>
        <v>35055</v>
      </c>
      <c r="I196" s="48">
        <f>SUM(I198)</f>
        <v>35055</v>
      </c>
      <c r="J196" s="289"/>
      <c r="K196" s="49">
        <f aca="true" t="shared" si="71" ref="K196:P196">SUM(K198)</f>
        <v>0</v>
      </c>
      <c r="L196" s="49">
        <f t="shared" si="71"/>
        <v>0</v>
      </c>
      <c r="M196" s="49">
        <f t="shared" si="71"/>
        <v>0</v>
      </c>
      <c r="N196" s="49">
        <f t="shared" si="71"/>
        <v>2460</v>
      </c>
      <c r="O196" s="49">
        <f t="shared" si="71"/>
        <v>0</v>
      </c>
      <c r="P196" s="49">
        <f t="shared" si="71"/>
        <v>0</v>
      </c>
      <c r="Q196" s="40">
        <f>SUM(Q197:Q198)</f>
        <v>37515</v>
      </c>
      <c r="R196" s="48">
        <f>SUM(R198)</f>
        <v>0</v>
      </c>
      <c r="S196" s="48">
        <f aca="true" t="shared" si="72" ref="S196:Z196">SUM(S198)</f>
        <v>0</v>
      </c>
      <c r="T196" s="48">
        <f t="shared" si="72"/>
        <v>0</v>
      </c>
      <c r="U196" s="48">
        <f t="shared" si="72"/>
        <v>0</v>
      </c>
      <c r="V196" s="48">
        <f t="shared" si="72"/>
        <v>0</v>
      </c>
      <c r="W196" s="48">
        <f t="shared" si="72"/>
        <v>28136.75</v>
      </c>
      <c r="X196" s="48">
        <f t="shared" si="72"/>
        <v>0</v>
      </c>
      <c r="Y196" s="48">
        <f t="shared" si="72"/>
        <v>0</v>
      </c>
      <c r="Z196" s="48">
        <f t="shared" si="72"/>
        <v>0</v>
      </c>
      <c r="AA196" s="48">
        <f>SUM(AA198)</f>
        <v>0</v>
      </c>
      <c r="AB196" s="48">
        <f>SUM(AB198)</f>
        <v>0</v>
      </c>
      <c r="AC196" s="48">
        <f>SUM(AC198)</f>
        <v>0</v>
      </c>
      <c r="AD196" s="48">
        <f>SUM(AD198)</f>
        <v>28136.75</v>
      </c>
      <c r="AE196" s="48">
        <f>SUM(AE198)</f>
        <v>9378.25</v>
      </c>
      <c r="AF196" s="130">
        <f t="shared" si="56"/>
        <v>75.00133280021325</v>
      </c>
    </row>
    <row r="197" spans="2:32" s="42" customFormat="1" ht="12.75" customHeight="1" hidden="1">
      <c r="B197" s="133"/>
      <c r="C197" s="30"/>
      <c r="D197" s="30">
        <v>4300</v>
      </c>
      <c r="E197" s="32" t="s">
        <v>471</v>
      </c>
      <c r="F197" s="408"/>
      <c r="G197" s="414"/>
      <c r="H197" s="408"/>
      <c r="I197" s="408"/>
      <c r="J197" s="289"/>
      <c r="K197" s="273"/>
      <c r="L197" s="273"/>
      <c r="M197" s="273"/>
      <c r="N197" s="273"/>
      <c r="O197" s="273"/>
      <c r="P197" s="273"/>
      <c r="Q197" s="131">
        <f t="shared" si="66"/>
        <v>0</v>
      </c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B197" s="408"/>
      <c r="AC197" s="408"/>
      <c r="AD197" s="34">
        <f>SUM(R197:AC197)</f>
        <v>0</v>
      </c>
      <c r="AE197" s="52">
        <f>Q197-AD197</f>
        <v>0</v>
      </c>
      <c r="AF197" s="132" t="e">
        <f t="shared" si="56"/>
        <v>#DIV/0!</v>
      </c>
    </row>
    <row r="198" spans="2:32" s="42" customFormat="1" ht="36" customHeight="1">
      <c r="B198" s="129"/>
      <c r="C198" s="30"/>
      <c r="D198" s="30">
        <v>4440</v>
      </c>
      <c r="E198" s="32" t="s">
        <v>498</v>
      </c>
      <c r="F198" s="52">
        <v>28728</v>
      </c>
      <c r="G198" s="51">
        <v>35055</v>
      </c>
      <c r="H198" s="52">
        <v>35055</v>
      </c>
      <c r="I198" s="52">
        <v>35055</v>
      </c>
      <c r="J198" s="289" t="s">
        <v>250</v>
      </c>
      <c r="K198" s="53"/>
      <c r="L198" s="53"/>
      <c r="M198" s="53"/>
      <c r="N198" s="53">
        <v>2460</v>
      </c>
      <c r="O198" s="53"/>
      <c r="P198" s="53"/>
      <c r="Q198" s="131">
        <f>I198+K198+L198+M198+N198+O198+P198</f>
        <v>37515</v>
      </c>
      <c r="R198" s="52"/>
      <c r="S198" s="52"/>
      <c r="T198" s="52"/>
      <c r="U198" s="52"/>
      <c r="V198" s="52"/>
      <c r="W198" s="52">
        <v>28136.75</v>
      </c>
      <c r="X198" s="52"/>
      <c r="Y198" s="52"/>
      <c r="Z198" s="52"/>
      <c r="AA198" s="52"/>
      <c r="AB198" s="52"/>
      <c r="AC198" s="52"/>
      <c r="AD198" s="34">
        <f>SUM(R198:AC198)</f>
        <v>28136.75</v>
      </c>
      <c r="AE198" s="52">
        <f>Q198-AD198</f>
        <v>9378.25</v>
      </c>
      <c r="AF198" s="132">
        <f t="shared" si="56"/>
        <v>75.00133280021325</v>
      </c>
    </row>
    <row r="199" spans="2:32" s="42" customFormat="1" ht="12.75">
      <c r="B199" s="140">
        <v>851</v>
      </c>
      <c r="C199" s="155"/>
      <c r="D199" s="155"/>
      <c r="E199" s="142" t="s">
        <v>540</v>
      </c>
      <c r="F199" s="139">
        <f>F200+F210</f>
        <v>88096</v>
      </c>
      <c r="G199" s="137">
        <f>G200+G210</f>
        <v>80000</v>
      </c>
      <c r="H199" s="139">
        <f>H200+H210</f>
        <v>80000</v>
      </c>
      <c r="I199" s="139">
        <f>I200+I210</f>
        <v>80000</v>
      </c>
      <c r="J199" s="292"/>
      <c r="K199" s="138">
        <f aca="true" t="shared" si="73" ref="K199:Z199">K200+K210</f>
        <v>9819</v>
      </c>
      <c r="L199" s="138">
        <f t="shared" si="73"/>
        <v>0</v>
      </c>
      <c r="M199" s="138">
        <f t="shared" si="73"/>
        <v>0</v>
      </c>
      <c r="N199" s="138">
        <f t="shared" si="73"/>
        <v>0</v>
      </c>
      <c r="O199" s="138">
        <f t="shared" si="73"/>
        <v>0</v>
      </c>
      <c r="P199" s="138">
        <f t="shared" si="73"/>
        <v>0</v>
      </c>
      <c r="Q199" s="139">
        <f t="shared" si="73"/>
        <v>89819</v>
      </c>
      <c r="R199" s="139">
        <f t="shared" si="73"/>
        <v>1697.27</v>
      </c>
      <c r="S199" s="139">
        <f t="shared" si="73"/>
        <v>5561.24</v>
      </c>
      <c r="T199" s="139">
        <f>T200+T210</f>
        <v>17354.22</v>
      </c>
      <c r="U199" s="139">
        <f t="shared" si="73"/>
        <v>6921.110000000001</v>
      </c>
      <c r="V199" s="139">
        <f t="shared" si="73"/>
        <v>2692.78</v>
      </c>
      <c r="W199" s="139">
        <f t="shared" si="73"/>
        <v>9970.54</v>
      </c>
      <c r="X199" s="139">
        <f t="shared" si="73"/>
        <v>0</v>
      </c>
      <c r="Y199" s="139">
        <f t="shared" si="73"/>
        <v>0</v>
      </c>
      <c r="Z199" s="139">
        <f t="shared" si="73"/>
        <v>0</v>
      </c>
      <c r="AA199" s="139">
        <f>AA200+AA210</f>
        <v>0</v>
      </c>
      <c r="AB199" s="139">
        <f>AB200+AB210</f>
        <v>0</v>
      </c>
      <c r="AC199" s="139">
        <f>AC200+AC210</f>
        <v>0</v>
      </c>
      <c r="AD199" s="139">
        <f>AD200+AD210</f>
        <v>44197.16</v>
      </c>
      <c r="AE199" s="139">
        <f>AE200+AE210</f>
        <v>45621.840000000004</v>
      </c>
      <c r="AF199" s="128">
        <f aca="true" t="shared" si="74" ref="AF199:AF210">AD199*100/Q199</f>
        <v>49.206916131330786</v>
      </c>
    </row>
    <row r="200" spans="2:32" s="42" customFormat="1" ht="25.5">
      <c r="B200" s="129"/>
      <c r="C200" s="43">
        <v>85154</v>
      </c>
      <c r="D200" s="43"/>
      <c r="E200" s="45" t="s">
        <v>541</v>
      </c>
      <c r="F200" s="48">
        <f>SUM(F201:F208)</f>
        <v>88096</v>
      </c>
      <c r="G200" s="46">
        <f>SUM(G201:G208)</f>
        <v>80000</v>
      </c>
      <c r="H200" s="48">
        <f>SUM(H201:H208)</f>
        <v>80000</v>
      </c>
      <c r="I200" s="48">
        <f>SUM(I201:I208)</f>
        <v>80000</v>
      </c>
      <c r="J200" s="289"/>
      <c r="K200" s="49">
        <f aca="true" t="shared" si="75" ref="K200:P200">SUM(K201:K208)</f>
        <v>9819</v>
      </c>
      <c r="L200" s="49">
        <f t="shared" si="75"/>
        <v>0</v>
      </c>
      <c r="M200" s="49">
        <f t="shared" si="75"/>
        <v>0</v>
      </c>
      <c r="N200" s="49">
        <f t="shared" si="75"/>
        <v>0</v>
      </c>
      <c r="O200" s="49">
        <f t="shared" si="75"/>
        <v>0</v>
      </c>
      <c r="P200" s="49">
        <f t="shared" si="75"/>
        <v>0</v>
      </c>
      <c r="Q200" s="40">
        <f>SUM(Q201:Q209)</f>
        <v>89819</v>
      </c>
      <c r="R200" s="48">
        <f>SUM(R201:R208)</f>
        <v>1697.27</v>
      </c>
      <c r="S200" s="48">
        <f aca="true" t="shared" si="76" ref="S200:Z200">SUM(S201:S208)</f>
        <v>5561.24</v>
      </c>
      <c r="T200" s="48">
        <f t="shared" si="76"/>
        <v>17354.22</v>
      </c>
      <c r="U200" s="48">
        <f t="shared" si="76"/>
        <v>6921.110000000001</v>
      </c>
      <c r="V200" s="48">
        <f t="shared" si="76"/>
        <v>2692.78</v>
      </c>
      <c r="W200" s="48">
        <f t="shared" si="76"/>
        <v>9970.54</v>
      </c>
      <c r="X200" s="48">
        <f t="shared" si="76"/>
        <v>0</v>
      </c>
      <c r="Y200" s="48">
        <f t="shared" si="76"/>
        <v>0</v>
      </c>
      <c r="Z200" s="48">
        <f t="shared" si="76"/>
        <v>0</v>
      </c>
      <c r="AA200" s="48">
        <f>SUM(AA201:AA208)</f>
        <v>0</v>
      </c>
      <c r="AB200" s="48">
        <f>SUM(AB201:AB208)</f>
        <v>0</v>
      </c>
      <c r="AC200" s="48">
        <f>SUM(AC201:AC208)</f>
        <v>0</v>
      </c>
      <c r="AD200" s="48">
        <f>SUM(AD201:AD209)</f>
        <v>44197.16</v>
      </c>
      <c r="AE200" s="48">
        <f>SUM(AE201:AE209)</f>
        <v>45621.840000000004</v>
      </c>
      <c r="AF200" s="130">
        <f t="shared" si="74"/>
        <v>49.206916131330786</v>
      </c>
    </row>
    <row r="201" spans="2:32" s="42" customFormat="1" ht="63.75">
      <c r="B201" s="129"/>
      <c r="C201" s="43"/>
      <c r="D201" s="30">
        <v>2820</v>
      </c>
      <c r="E201" s="32" t="s">
        <v>542</v>
      </c>
      <c r="F201" s="52">
        <v>4000</v>
      </c>
      <c r="G201" s="51">
        <v>6000</v>
      </c>
      <c r="H201" s="52">
        <v>6000</v>
      </c>
      <c r="I201" s="52">
        <v>6000</v>
      </c>
      <c r="J201" s="287"/>
      <c r="K201" s="53"/>
      <c r="L201" s="53"/>
      <c r="M201" s="53"/>
      <c r="N201" s="53"/>
      <c r="O201" s="53"/>
      <c r="P201" s="53"/>
      <c r="Q201" s="131">
        <f aca="true" t="shared" si="77" ref="Q201:Q212">I201+K201+L201+M201+N201+O201+P201</f>
        <v>6000</v>
      </c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34">
        <f aca="true" t="shared" si="78" ref="AD201:AD209">SUM(R201:AC201)</f>
        <v>0</v>
      </c>
      <c r="AE201" s="52">
        <f aca="true" t="shared" si="79" ref="AE201:AE209">Q201-AD201</f>
        <v>6000</v>
      </c>
      <c r="AF201" s="132">
        <f t="shared" si="74"/>
        <v>0</v>
      </c>
    </row>
    <row r="202" spans="2:32" s="42" customFormat="1" ht="12.75" customHeight="1">
      <c r="B202" s="129"/>
      <c r="C202" s="43"/>
      <c r="D202" s="30">
        <v>4170</v>
      </c>
      <c r="E202" s="32" t="s">
        <v>543</v>
      </c>
      <c r="F202" s="52">
        <v>10200</v>
      </c>
      <c r="G202" s="51">
        <v>14000</v>
      </c>
      <c r="H202" s="52">
        <v>14000</v>
      </c>
      <c r="I202" s="52">
        <v>14000</v>
      </c>
      <c r="J202" s="556" t="s">
        <v>391</v>
      </c>
      <c r="K202" s="53"/>
      <c r="L202" s="53"/>
      <c r="M202" s="53"/>
      <c r="N202" s="53"/>
      <c r="O202" s="53"/>
      <c r="P202" s="53"/>
      <c r="Q202" s="131">
        <f t="shared" si="77"/>
        <v>14000</v>
      </c>
      <c r="R202" s="52">
        <v>1196</v>
      </c>
      <c r="S202" s="52">
        <v>1450</v>
      </c>
      <c r="T202" s="52">
        <v>1601.25</v>
      </c>
      <c r="U202" s="52">
        <v>1780.25</v>
      </c>
      <c r="V202" s="52">
        <v>1958.25</v>
      </c>
      <c r="W202" s="52">
        <v>1301.87</v>
      </c>
      <c r="X202" s="52"/>
      <c r="Y202" s="52"/>
      <c r="Z202" s="52"/>
      <c r="AA202" s="52"/>
      <c r="AB202" s="52"/>
      <c r="AC202" s="52"/>
      <c r="AD202" s="34">
        <f t="shared" si="78"/>
        <v>9287.619999999999</v>
      </c>
      <c r="AE202" s="52">
        <f t="shared" si="79"/>
        <v>4712.380000000001</v>
      </c>
      <c r="AF202" s="132">
        <f t="shared" si="74"/>
        <v>66.34014285714285</v>
      </c>
    </row>
    <row r="203" spans="2:32" s="42" customFormat="1" ht="24.75" customHeight="1">
      <c r="B203" s="129"/>
      <c r="C203" s="30"/>
      <c r="D203" s="30">
        <v>4210</v>
      </c>
      <c r="E203" s="32" t="s">
        <v>469</v>
      </c>
      <c r="F203" s="52">
        <v>30100</v>
      </c>
      <c r="G203" s="51">
        <v>25000</v>
      </c>
      <c r="H203" s="52">
        <v>25000</v>
      </c>
      <c r="I203" s="52">
        <v>25000</v>
      </c>
      <c r="J203" s="558"/>
      <c r="K203" s="53">
        <v>9000</v>
      </c>
      <c r="L203" s="53"/>
      <c r="M203" s="53"/>
      <c r="N203" s="53"/>
      <c r="O203" s="53"/>
      <c r="P203" s="53"/>
      <c r="Q203" s="131">
        <f t="shared" si="77"/>
        <v>34000</v>
      </c>
      <c r="R203" s="52"/>
      <c r="S203" s="52">
        <v>2126.94</v>
      </c>
      <c r="T203" s="52">
        <v>2451.3</v>
      </c>
      <c r="U203" s="52">
        <v>1913.83</v>
      </c>
      <c r="V203" s="52">
        <v>656.13</v>
      </c>
      <c r="W203" s="52">
        <v>2154.82</v>
      </c>
      <c r="X203" s="52"/>
      <c r="Y203" s="52"/>
      <c r="Z203" s="52"/>
      <c r="AA203" s="52"/>
      <c r="AB203" s="52"/>
      <c r="AC203" s="52"/>
      <c r="AD203" s="34">
        <f t="shared" si="78"/>
        <v>9303.02</v>
      </c>
      <c r="AE203" s="52">
        <f t="shared" si="79"/>
        <v>24696.98</v>
      </c>
      <c r="AF203" s="132">
        <f t="shared" si="74"/>
        <v>27.361823529411765</v>
      </c>
    </row>
    <row r="204" spans="2:32" s="42" customFormat="1" ht="12.75">
      <c r="B204" s="129"/>
      <c r="C204" s="30"/>
      <c r="D204" s="30">
        <v>4260</v>
      </c>
      <c r="E204" s="32" t="s">
        <v>496</v>
      </c>
      <c r="F204" s="52">
        <v>5000</v>
      </c>
      <c r="G204" s="51">
        <v>6000</v>
      </c>
      <c r="H204" s="52">
        <v>6000</v>
      </c>
      <c r="I204" s="52">
        <v>6000</v>
      </c>
      <c r="J204" s="558"/>
      <c r="K204" s="53"/>
      <c r="L204" s="53"/>
      <c r="M204" s="53"/>
      <c r="N204" s="53"/>
      <c r="O204" s="53"/>
      <c r="P204" s="53"/>
      <c r="Q204" s="131">
        <f t="shared" si="77"/>
        <v>6000</v>
      </c>
      <c r="R204" s="52">
        <v>455.03</v>
      </c>
      <c r="S204" s="52">
        <v>1141.88</v>
      </c>
      <c r="T204" s="52"/>
      <c r="U204" s="52">
        <v>757.25</v>
      </c>
      <c r="V204" s="52">
        <v>32.87</v>
      </c>
      <c r="W204" s="52">
        <v>268.99</v>
      </c>
      <c r="X204" s="52"/>
      <c r="Y204" s="52"/>
      <c r="Z204" s="52"/>
      <c r="AA204" s="52"/>
      <c r="AB204" s="52"/>
      <c r="AC204" s="52"/>
      <c r="AD204" s="34">
        <f t="shared" si="78"/>
        <v>2656.0199999999995</v>
      </c>
      <c r="AE204" s="52">
        <f t="shared" si="79"/>
        <v>3343.9800000000005</v>
      </c>
      <c r="AF204" s="132">
        <f t="shared" si="74"/>
        <v>44.26699999999999</v>
      </c>
    </row>
    <row r="205" spans="2:32" s="42" customFormat="1" ht="12.75">
      <c r="B205" s="129"/>
      <c r="C205" s="30"/>
      <c r="D205" s="30">
        <v>4270</v>
      </c>
      <c r="E205" s="32" t="s">
        <v>470</v>
      </c>
      <c r="F205" s="52">
        <v>1000</v>
      </c>
      <c r="G205" s="51">
        <v>2000</v>
      </c>
      <c r="H205" s="52">
        <v>2000</v>
      </c>
      <c r="I205" s="52">
        <v>2000</v>
      </c>
      <c r="J205" s="558"/>
      <c r="K205" s="53"/>
      <c r="L205" s="53"/>
      <c r="M205" s="53"/>
      <c r="N205" s="53"/>
      <c r="O205" s="53"/>
      <c r="P205" s="53"/>
      <c r="Q205" s="131">
        <f t="shared" si="77"/>
        <v>2000</v>
      </c>
      <c r="R205" s="52"/>
      <c r="S205" s="52"/>
      <c r="T205" s="52"/>
      <c r="U205" s="52">
        <v>524.6</v>
      </c>
      <c r="V205" s="52"/>
      <c r="W205" s="52"/>
      <c r="X205" s="52"/>
      <c r="Y205" s="52"/>
      <c r="Z205" s="52"/>
      <c r="AA205" s="52"/>
      <c r="AB205" s="52"/>
      <c r="AC205" s="52"/>
      <c r="AD205" s="34">
        <f t="shared" si="78"/>
        <v>524.6</v>
      </c>
      <c r="AE205" s="52">
        <f t="shared" si="79"/>
        <v>1475.4</v>
      </c>
      <c r="AF205" s="132">
        <f t="shared" si="74"/>
        <v>26.23</v>
      </c>
    </row>
    <row r="206" spans="2:32" s="42" customFormat="1" ht="12.75">
      <c r="B206" s="129"/>
      <c r="C206" s="30"/>
      <c r="D206" s="30">
        <v>4300</v>
      </c>
      <c r="E206" s="32" t="s">
        <v>471</v>
      </c>
      <c r="F206" s="52">
        <v>36596</v>
      </c>
      <c r="G206" s="51">
        <v>25000</v>
      </c>
      <c r="H206" s="52">
        <v>25000</v>
      </c>
      <c r="I206" s="52">
        <v>25000</v>
      </c>
      <c r="J206" s="558"/>
      <c r="K206" s="53">
        <v>819</v>
      </c>
      <c r="L206" s="53"/>
      <c r="M206" s="53"/>
      <c r="N206" s="53"/>
      <c r="O206" s="53"/>
      <c r="P206" s="53"/>
      <c r="Q206" s="131">
        <f t="shared" si="77"/>
        <v>25819</v>
      </c>
      <c r="R206" s="52">
        <v>46.24</v>
      </c>
      <c r="S206" s="52">
        <v>842.42</v>
      </c>
      <c r="T206" s="52">
        <v>13301.67</v>
      </c>
      <c r="U206" s="52">
        <v>1945.18</v>
      </c>
      <c r="V206" s="52">
        <v>45.53</v>
      </c>
      <c r="W206" s="52">
        <v>6244.86</v>
      </c>
      <c r="X206" s="52"/>
      <c r="Y206" s="52"/>
      <c r="Z206" s="52"/>
      <c r="AA206" s="52"/>
      <c r="AB206" s="52"/>
      <c r="AC206" s="52"/>
      <c r="AD206" s="34">
        <f t="shared" si="78"/>
        <v>22425.9</v>
      </c>
      <c r="AE206" s="52">
        <f t="shared" si="79"/>
        <v>3393.0999999999985</v>
      </c>
      <c r="AF206" s="132">
        <f t="shared" si="74"/>
        <v>86.85812773538866</v>
      </c>
    </row>
    <row r="207" spans="2:32" s="42" customFormat="1" ht="12.75">
      <c r="B207" s="129"/>
      <c r="C207" s="30"/>
      <c r="D207" s="30">
        <v>4410</v>
      </c>
      <c r="E207" s="32" t="s">
        <v>491</v>
      </c>
      <c r="F207" s="52">
        <v>1000</v>
      </c>
      <c r="G207" s="51">
        <v>1500</v>
      </c>
      <c r="H207" s="52">
        <v>1500</v>
      </c>
      <c r="I207" s="52">
        <v>1500</v>
      </c>
      <c r="J207" s="558"/>
      <c r="K207" s="53"/>
      <c r="L207" s="53"/>
      <c r="M207" s="53"/>
      <c r="N207" s="53"/>
      <c r="O207" s="53"/>
      <c r="P207" s="53"/>
      <c r="Q207" s="131">
        <f t="shared" si="77"/>
        <v>1500</v>
      </c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34">
        <f t="shared" si="78"/>
        <v>0</v>
      </c>
      <c r="AE207" s="52">
        <f t="shared" si="79"/>
        <v>1500</v>
      </c>
      <c r="AF207" s="132">
        <f t="shared" si="74"/>
        <v>0</v>
      </c>
    </row>
    <row r="208" spans="2:32" s="42" customFormat="1" ht="15" customHeight="1">
      <c r="B208" s="129"/>
      <c r="C208" s="30"/>
      <c r="D208" s="30">
        <v>4430</v>
      </c>
      <c r="E208" s="32" t="s">
        <v>497</v>
      </c>
      <c r="F208" s="52">
        <v>200</v>
      </c>
      <c r="G208" s="51">
        <v>500</v>
      </c>
      <c r="H208" s="52">
        <v>500</v>
      </c>
      <c r="I208" s="52">
        <v>500</v>
      </c>
      <c r="J208" s="557"/>
      <c r="K208" s="53"/>
      <c r="L208" s="53"/>
      <c r="M208" s="53"/>
      <c r="N208" s="53"/>
      <c r="O208" s="53"/>
      <c r="P208" s="53"/>
      <c r="Q208" s="131">
        <f t="shared" si="77"/>
        <v>500</v>
      </c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34">
        <f t="shared" si="78"/>
        <v>0</v>
      </c>
      <c r="AE208" s="52">
        <f t="shared" si="79"/>
        <v>500</v>
      </c>
      <c r="AF208" s="132">
        <f t="shared" si="74"/>
        <v>0</v>
      </c>
    </row>
    <row r="209" spans="2:32" s="42" customFormat="1" ht="25.5" customHeight="1" hidden="1">
      <c r="B209" s="129"/>
      <c r="C209" s="30"/>
      <c r="D209" s="30">
        <v>6060</v>
      </c>
      <c r="E209" s="32" t="s">
        <v>483</v>
      </c>
      <c r="F209" s="52"/>
      <c r="G209" s="51"/>
      <c r="H209" s="52"/>
      <c r="I209" s="52"/>
      <c r="J209" s="288"/>
      <c r="K209" s="53"/>
      <c r="L209" s="53"/>
      <c r="M209" s="53"/>
      <c r="N209" s="53"/>
      <c r="O209" s="53"/>
      <c r="P209" s="53"/>
      <c r="Q209" s="131">
        <f t="shared" si="77"/>
        <v>0</v>
      </c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34">
        <f t="shared" si="78"/>
        <v>0</v>
      </c>
      <c r="AE209" s="52">
        <f t="shared" si="79"/>
        <v>0</v>
      </c>
      <c r="AF209" s="132" t="e">
        <f t="shared" si="74"/>
        <v>#DIV/0!</v>
      </c>
    </row>
    <row r="210" spans="2:32" s="42" customFormat="1" ht="12.75" customHeight="1" hidden="1">
      <c r="B210" s="129"/>
      <c r="C210" s="43">
        <v>85195</v>
      </c>
      <c r="D210" s="43"/>
      <c r="E210" s="45" t="s">
        <v>317</v>
      </c>
      <c r="F210" s="48">
        <f>F211</f>
        <v>0</v>
      </c>
      <c r="G210" s="46">
        <f>G211</f>
        <v>0</v>
      </c>
      <c r="H210" s="48">
        <f>H211</f>
        <v>0</v>
      </c>
      <c r="I210" s="48">
        <f>I211</f>
        <v>0</v>
      </c>
      <c r="J210" s="288"/>
      <c r="K210" s="49">
        <f aca="true" t="shared" si="80" ref="K210:P210">K211</f>
        <v>0</v>
      </c>
      <c r="L210" s="49">
        <f t="shared" si="80"/>
        <v>0</v>
      </c>
      <c r="M210" s="49">
        <f t="shared" si="80"/>
        <v>0</v>
      </c>
      <c r="N210" s="49">
        <f t="shared" si="80"/>
        <v>0</v>
      </c>
      <c r="O210" s="49">
        <f t="shared" si="80"/>
        <v>0</v>
      </c>
      <c r="P210" s="49">
        <f t="shared" si="80"/>
        <v>0</v>
      </c>
      <c r="Q210" s="156">
        <f>Q211+Q212</f>
        <v>0</v>
      </c>
      <c r="R210" s="48">
        <f>R211</f>
        <v>0</v>
      </c>
      <c r="S210" s="48">
        <f aca="true" t="shared" si="81" ref="S210:AC210">S211</f>
        <v>0</v>
      </c>
      <c r="T210" s="48">
        <f t="shared" si="81"/>
        <v>0</v>
      </c>
      <c r="U210" s="48">
        <f t="shared" si="81"/>
        <v>0</v>
      </c>
      <c r="V210" s="48">
        <f t="shared" si="81"/>
        <v>0</v>
      </c>
      <c r="W210" s="48">
        <f t="shared" si="81"/>
        <v>0</v>
      </c>
      <c r="X210" s="48">
        <f t="shared" si="81"/>
        <v>0</v>
      </c>
      <c r="Y210" s="48">
        <f t="shared" si="81"/>
        <v>0</v>
      </c>
      <c r="Z210" s="48">
        <f t="shared" si="81"/>
        <v>0</v>
      </c>
      <c r="AA210" s="48">
        <f t="shared" si="81"/>
        <v>0</v>
      </c>
      <c r="AB210" s="48">
        <f t="shared" si="81"/>
        <v>0</v>
      </c>
      <c r="AC210" s="48">
        <f t="shared" si="81"/>
        <v>0</v>
      </c>
      <c r="AD210" s="72">
        <f>AD211+AD212</f>
        <v>0</v>
      </c>
      <c r="AE210" s="72">
        <f>AE211+AE212</f>
        <v>0</v>
      </c>
      <c r="AF210" s="157" t="e">
        <f t="shared" si="74"/>
        <v>#DIV/0!</v>
      </c>
    </row>
    <row r="211" spans="2:32" s="42" customFormat="1" ht="63.75" customHeight="1" hidden="1">
      <c r="B211" s="129"/>
      <c r="C211" s="43"/>
      <c r="D211" s="58">
        <v>2710</v>
      </c>
      <c r="E211" s="59" t="s">
        <v>480</v>
      </c>
      <c r="F211" s="48"/>
      <c r="G211" s="46"/>
      <c r="H211" s="48"/>
      <c r="I211" s="48"/>
      <c r="J211" s="289" t="s">
        <v>392</v>
      </c>
      <c r="K211" s="49"/>
      <c r="L211" s="49"/>
      <c r="M211" s="49"/>
      <c r="N211" s="49"/>
      <c r="O211" s="49"/>
      <c r="P211" s="49"/>
      <c r="Q211" s="131">
        <f t="shared" si="77"/>
        <v>0</v>
      </c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34">
        <f>SUM(R211:AC211)</f>
        <v>0</v>
      </c>
      <c r="AE211" s="52">
        <f>Q211-AD211</f>
        <v>0</v>
      </c>
      <c r="AF211" s="132"/>
    </row>
    <row r="212" spans="2:32" s="42" customFormat="1" ht="75.75" customHeight="1" hidden="1">
      <c r="B212" s="129"/>
      <c r="C212" s="43"/>
      <c r="D212" s="58">
        <v>6300</v>
      </c>
      <c r="E212" s="59" t="s">
        <v>544</v>
      </c>
      <c r="F212" s="48"/>
      <c r="G212" s="46"/>
      <c r="H212" s="48"/>
      <c r="I212" s="48"/>
      <c r="J212" s="289"/>
      <c r="K212" s="49"/>
      <c r="L212" s="49"/>
      <c r="M212" s="49"/>
      <c r="N212" s="49"/>
      <c r="O212" s="49"/>
      <c r="P212" s="49"/>
      <c r="Q212" s="131">
        <f t="shared" si="77"/>
        <v>0</v>
      </c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34">
        <f>SUM(R212:AC212)</f>
        <v>0</v>
      </c>
      <c r="AE212" s="52">
        <f>Q212-AD212</f>
        <v>0</v>
      </c>
      <c r="AF212" s="132" t="e">
        <f aca="true" t="shared" si="82" ref="AF212:AF264">AD212*100/Q212</f>
        <v>#DIV/0!</v>
      </c>
    </row>
    <row r="213" spans="2:32" s="42" customFormat="1" ht="12.75">
      <c r="B213" s="140">
        <v>852</v>
      </c>
      <c r="C213" s="155"/>
      <c r="D213" s="155"/>
      <c r="E213" s="142" t="s">
        <v>449</v>
      </c>
      <c r="F213" s="139">
        <f>F221+F223+F227+F229+F244+F246+F214</f>
        <v>1987875</v>
      </c>
      <c r="G213" s="137">
        <f>G221+G223+G227+G229+G244+G246+G214</f>
        <v>2230224</v>
      </c>
      <c r="H213" s="139">
        <f>H221+H223+H227+H229+H244+H246+H214</f>
        <v>2157024</v>
      </c>
      <c r="I213" s="139">
        <f>I221+I223+I227+I229+I244+I246+I214</f>
        <v>2138924</v>
      </c>
      <c r="J213" s="292"/>
      <c r="K213" s="138">
        <f aca="true" t="shared" si="83" ref="K213:Z213">K221+K223+K227+K229+K244+K246+K214</f>
        <v>0</v>
      </c>
      <c r="L213" s="138">
        <f t="shared" si="83"/>
        <v>56100</v>
      </c>
      <c r="M213" s="138">
        <f t="shared" si="83"/>
        <v>19725</v>
      </c>
      <c r="N213" s="138">
        <f t="shared" si="83"/>
        <v>7361</v>
      </c>
      <c r="O213" s="138">
        <f t="shared" si="83"/>
        <v>0</v>
      </c>
      <c r="P213" s="138">
        <f t="shared" si="83"/>
        <v>0</v>
      </c>
      <c r="Q213" s="139">
        <f t="shared" si="83"/>
        <v>2222110</v>
      </c>
      <c r="R213" s="139">
        <f t="shared" si="83"/>
        <v>161167.05000000002</v>
      </c>
      <c r="S213" s="139">
        <f t="shared" si="83"/>
        <v>205976.72000000003</v>
      </c>
      <c r="T213" s="139">
        <f>T221+T223+T227+T229+T244+T246+T214</f>
        <v>206897.15999999997</v>
      </c>
      <c r="U213" s="139">
        <f t="shared" si="83"/>
        <v>187423.65</v>
      </c>
      <c r="V213" s="139">
        <f t="shared" si="83"/>
        <v>176903.29</v>
      </c>
      <c r="W213" s="139">
        <f t="shared" si="83"/>
        <v>204595.96000000002</v>
      </c>
      <c r="X213" s="139">
        <f t="shared" si="83"/>
        <v>0</v>
      </c>
      <c r="Y213" s="139">
        <f t="shared" si="83"/>
        <v>0</v>
      </c>
      <c r="Z213" s="139">
        <f t="shared" si="83"/>
        <v>0</v>
      </c>
      <c r="AA213" s="139">
        <f>AA221+AA223+AA227+AA229+AA244+AA246+AA214</f>
        <v>0</v>
      </c>
      <c r="AB213" s="139">
        <f>AB221+AB223+AB227+AB229+AB244+AB246+AB214</f>
        <v>0</v>
      </c>
      <c r="AC213" s="139">
        <f>AC221+AC223+AC227+AC229+AC244+AC246+AC214</f>
        <v>0</v>
      </c>
      <c r="AD213" s="139">
        <f>AD221+AD223+AD227+AD229+AD244+AD246+AD214</f>
        <v>1142963.83</v>
      </c>
      <c r="AE213" s="139">
        <f>AE221+AE223+AE227+AE229+AE244+AE246+AE214</f>
        <v>1079146.1700000002</v>
      </c>
      <c r="AF213" s="128">
        <f t="shared" si="82"/>
        <v>51.43596986647826</v>
      </c>
    </row>
    <row r="214" spans="2:32" s="66" customFormat="1" ht="67.5" customHeight="1">
      <c r="B214" s="143"/>
      <c r="C214" s="158">
        <v>85212</v>
      </c>
      <c r="D214" s="67"/>
      <c r="E214" s="45" t="s">
        <v>251</v>
      </c>
      <c r="F214" s="61">
        <f>SUM(F215:F220)</f>
        <v>1057000</v>
      </c>
      <c r="G214" s="60">
        <f>SUM(G215:G220)</f>
        <v>1210000</v>
      </c>
      <c r="H214" s="61">
        <f>SUM(H215:H220)</f>
        <v>1210000</v>
      </c>
      <c r="I214" s="61">
        <f>SUM(I215:I220)</f>
        <v>1210000</v>
      </c>
      <c r="J214" s="291" t="s">
        <v>252</v>
      </c>
      <c r="K214" s="62">
        <f aca="true" t="shared" si="84" ref="K214:Z214">SUM(K215:K220)</f>
        <v>0</v>
      </c>
      <c r="L214" s="62">
        <f t="shared" si="84"/>
        <v>56100</v>
      </c>
      <c r="M214" s="62">
        <f t="shared" si="84"/>
        <v>0</v>
      </c>
      <c r="N214" s="62">
        <f t="shared" si="84"/>
        <v>0</v>
      </c>
      <c r="O214" s="62">
        <f t="shared" si="84"/>
        <v>0</v>
      </c>
      <c r="P214" s="62">
        <f t="shared" si="84"/>
        <v>0</v>
      </c>
      <c r="Q214" s="40">
        <f t="shared" si="84"/>
        <v>1266100</v>
      </c>
      <c r="R214" s="61">
        <f t="shared" si="84"/>
        <v>108499.02</v>
      </c>
      <c r="S214" s="61">
        <f t="shared" si="84"/>
        <v>132349.74000000002</v>
      </c>
      <c r="T214" s="61">
        <f>SUM(T215:T220)</f>
        <v>120953.79</v>
      </c>
      <c r="U214" s="61">
        <f t="shared" si="84"/>
        <v>125427.31999999999</v>
      </c>
      <c r="V214" s="61">
        <f t="shared" si="84"/>
        <v>114942.28</v>
      </c>
      <c r="W214" s="61">
        <f t="shared" si="84"/>
        <v>137176.02000000002</v>
      </c>
      <c r="X214" s="61">
        <f t="shared" si="84"/>
        <v>0</v>
      </c>
      <c r="Y214" s="61">
        <f t="shared" si="84"/>
        <v>0</v>
      </c>
      <c r="Z214" s="61">
        <f t="shared" si="84"/>
        <v>0</v>
      </c>
      <c r="AA214" s="61">
        <f>SUM(AA215:AA220)</f>
        <v>0</v>
      </c>
      <c r="AB214" s="61">
        <f>SUM(AB215:AB220)</f>
        <v>0</v>
      </c>
      <c r="AC214" s="61">
        <f>SUM(AC215:AC220)</f>
        <v>0</v>
      </c>
      <c r="AD214" s="61">
        <f>SUM(AD215:AD220)</f>
        <v>739348.1699999999</v>
      </c>
      <c r="AE214" s="61">
        <f>SUM(AE215:AE220)</f>
        <v>526751.8300000001</v>
      </c>
      <c r="AF214" s="130">
        <f t="shared" si="82"/>
        <v>58.3957167680278</v>
      </c>
    </row>
    <row r="215" spans="2:32" s="66" customFormat="1" ht="18" customHeight="1">
      <c r="B215" s="143"/>
      <c r="C215" s="67"/>
      <c r="D215" s="30">
        <v>3110</v>
      </c>
      <c r="E215" s="32" t="s">
        <v>545</v>
      </c>
      <c r="F215" s="69">
        <v>1025290</v>
      </c>
      <c r="G215" s="68">
        <v>1173700</v>
      </c>
      <c r="H215" s="69">
        <v>1173700</v>
      </c>
      <c r="I215" s="69">
        <v>1173700</v>
      </c>
      <c r="J215" s="291" t="s">
        <v>253</v>
      </c>
      <c r="K215" s="70"/>
      <c r="L215" s="70">
        <v>54417</v>
      </c>
      <c r="M215" s="70"/>
      <c r="N215" s="70"/>
      <c r="O215" s="70"/>
      <c r="P215" s="70"/>
      <c r="Q215" s="131">
        <f aca="true" t="shared" si="85" ref="Q215:Q243">I215+K215+L215+M215+N215+O215+P215</f>
        <v>1228117</v>
      </c>
      <c r="R215" s="69">
        <v>107504.72</v>
      </c>
      <c r="S215" s="69">
        <v>131608.54</v>
      </c>
      <c r="T215" s="69">
        <v>120199.69</v>
      </c>
      <c r="U215" s="69">
        <v>124323.62</v>
      </c>
      <c r="V215" s="69">
        <v>113845.28</v>
      </c>
      <c r="W215" s="69">
        <v>121944.58</v>
      </c>
      <c r="X215" s="69"/>
      <c r="Y215" s="69"/>
      <c r="Z215" s="69"/>
      <c r="AA215" s="69"/>
      <c r="AB215" s="69"/>
      <c r="AC215" s="69"/>
      <c r="AD215" s="34">
        <f aca="true" t="shared" si="86" ref="AD215:AD220">SUM(R215:AC215)</f>
        <v>719426.4299999999</v>
      </c>
      <c r="AE215" s="52">
        <f aca="true" t="shared" si="87" ref="AE215:AE220">Q215-AD215</f>
        <v>508690.57000000007</v>
      </c>
      <c r="AF215" s="132">
        <f t="shared" si="82"/>
        <v>58.57963288514042</v>
      </c>
    </row>
    <row r="216" spans="2:32" s="66" customFormat="1" ht="29.25" customHeight="1">
      <c r="B216" s="143"/>
      <c r="C216" s="67"/>
      <c r="D216" s="30">
        <v>4010</v>
      </c>
      <c r="E216" s="32" t="s">
        <v>487</v>
      </c>
      <c r="F216" s="69">
        <v>19746</v>
      </c>
      <c r="G216" s="68">
        <v>23224</v>
      </c>
      <c r="H216" s="69">
        <v>23224</v>
      </c>
      <c r="I216" s="69">
        <v>23224</v>
      </c>
      <c r="J216" s="569" t="s">
        <v>254</v>
      </c>
      <c r="K216" s="70"/>
      <c r="L216" s="70">
        <v>1077</v>
      </c>
      <c r="M216" s="70"/>
      <c r="N216" s="70"/>
      <c r="O216" s="70"/>
      <c r="P216" s="70"/>
      <c r="Q216" s="131">
        <f t="shared" si="85"/>
        <v>24301</v>
      </c>
      <c r="R216" s="69"/>
      <c r="S216" s="69"/>
      <c r="T216" s="69"/>
      <c r="U216" s="69"/>
      <c r="V216" s="69"/>
      <c r="W216" s="69">
        <v>12150.5</v>
      </c>
      <c r="X216" s="69"/>
      <c r="Y216" s="69"/>
      <c r="Z216" s="69"/>
      <c r="AA216" s="69"/>
      <c r="AB216" s="69"/>
      <c r="AC216" s="69"/>
      <c r="AD216" s="34">
        <f t="shared" si="86"/>
        <v>12150.5</v>
      </c>
      <c r="AE216" s="52">
        <f t="shared" si="87"/>
        <v>12150.5</v>
      </c>
      <c r="AF216" s="132">
        <f t="shared" si="82"/>
        <v>50</v>
      </c>
    </row>
    <row r="217" spans="2:32" s="66" customFormat="1" ht="30" customHeight="1">
      <c r="B217" s="143"/>
      <c r="C217" s="67"/>
      <c r="D217" s="30">
        <v>4110</v>
      </c>
      <c r="E217" s="32" t="s">
        <v>488</v>
      </c>
      <c r="F217" s="69">
        <v>3402</v>
      </c>
      <c r="G217" s="68">
        <v>4001</v>
      </c>
      <c r="H217" s="69">
        <v>4001</v>
      </c>
      <c r="I217" s="69">
        <v>4001</v>
      </c>
      <c r="J217" s="554"/>
      <c r="K217" s="70"/>
      <c r="L217" s="70">
        <v>185</v>
      </c>
      <c r="M217" s="70"/>
      <c r="N217" s="70"/>
      <c r="O217" s="70"/>
      <c r="P217" s="70"/>
      <c r="Q217" s="131">
        <f t="shared" si="85"/>
        <v>4186</v>
      </c>
      <c r="R217" s="69"/>
      <c r="S217" s="69"/>
      <c r="T217" s="69"/>
      <c r="U217" s="69"/>
      <c r="V217" s="69"/>
      <c r="W217" s="69">
        <v>2093</v>
      </c>
      <c r="X217" s="69"/>
      <c r="Y217" s="69"/>
      <c r="Z217" s="69"/>
      <c r="AA217" s="69"/>
      <c r="AB217" s="69"/>
      <c r="AC217" s="69"/>
      <c r="AD217" s="34">
        <f t="shared" si="86"/>
        <v>2093</v>
      </c>
      <c r="AE217" s="52">
        <f t="shared" si="87"/>
        <v>2093</v>
      </c>
      <c r="AF217" s="132">
        <f t="shared" si="82"/>
        <v>50</v>
      </c>
    </row>
    <row r="218" spans="2:32" s="66" customFormat="1" ht="27.75" customHeight="1">
      <c r="B218" s="143"/>
      <c r="C218" s="67"/>
      <c r="D218" s="30">
        <v>4210</v>
      </c>
      <c r="E218" s="32" t="s">
        <v>469</v>
      </c>
      <c r="F218" s="69">
        <v>1000</v>
      </c>
      <c r="G218" s="68">
        <v>2000</v>
      </c>
      <c r="H218" s="69">
        <v>2000</v>
      </c>
      <c r="I218" s="69">
        <v>2000</v>
      </c>
      <c r="J218" s="554"/>
      <c r="K218" s="70"/>
      <c r="L218" s="70"/>
      <c r="M218" s="70"/>
      <c r="N218" s="70"/>
      <c r="O218" s="70"/>
      <c r="P218" s="70"/>
      <c r="Q218" s="131">
        <f t="shared" si="85"/>
        <v>2000</v>
      </c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34">
        <f t="shared" si="86"/>
        <v>0</v>
      </c>
      <c r="AE218" s="52">
        <f t="shared" si="87"/>
        <v>2000</v>
      </c>
      <c r="AF218" s="132">
        <f t="shared" si="82"/>
        <v>0</v>
      </c>
    </row>
    <row r="219" spans="2:32" s="66" customFormat="1" ht="15" customHeight="1">
      <c r="B219" s="143"/>
      <c r="C219" s="67"/>
      <c r="D219" s="30">
        <v>4300</v>
      </c>
      <c r="E219" s="32" t="s">
        <v>471</v>
      </c>
      <c r="F219" s="69">
        <v>7562</v>
      </c>
      <c r="G219" s="68">
        <v>7075</v>
      </c>
      <c r="H219" s="69">
        <v>6000</v>
      </c>
      <c r="I219" s="69">
        <v>6000</v>
      </c>
      <c r="J219" s="554"/>
      <c r="K219" s="70"/>
      <c r="L219" s="70">
        <v>421</v>
      </c>
      <c r="M219" s="70"/>
      <c r="N219" s="70"/>
      <c r="O219" s="70"/>
      <c r="P219" s="70"/>
      <c r="Q219" s="131">
        <f t="shared" si="85"/>
        <v>6421</v>
      </c>
      <c r="R219" s="69">
        <v>994.3</v>
      </c>
      <c r="S219" s="69">
        <v>741.2</v>
      </c>
      <c r="T219" s="69">
        <v>728.7</v>
      </c>
      <c r="U219" s="69">
        <v>1103.7</v>
      </c>
      <c r="V219" s="69">
        <v>1097</v>
      </c>
      <c r="W219" s="69">
        <v>856.1</v>
      </c>
      <c r="X219" s="69"/>
      <c r="Y219" s="69"/>
      <c r="Z219" s="69"/>
      <c r="AA219" s="69"/>
      <c r="AB219" s="69"/>
      <c r="AC219" s="69"/>
      <c r="AD219" s="34">
        <f t="shared" si="86"/>
        <v>5521</v>
      </c>
      <c r="AE219" s="52">
        <f t="shared" si="87"/>
        <v>900</v>
      </c>
      <c r="AF219" s="132">
        <f t="shared" si="82"/>
        <v>85.98349166796449</v>
      </c>
    </row>
    <row r="220" spans="2:32" s="66" customFormat="1" ht="16.5" customHeight="1">
      <c r="B220" s="143"/>
      <c r="C220" s="67"/>
      <c r="D220" s="30">
        <v>4410</v>
      </c>
      <c r="E220" s="32" t="s">
        <v>491</v>
      </c>
      <c r="F220" s="69"/>
      <c r="G220" s="68"/>
      <c r="H220" s="69">
        <v>1075</v>
      </c>
      <c r="I220" s="69">
        <v>1075</v>
      </c>
      <c r="J220" s="555"/>
      <c r="K220" s="70"/>
      <c r="L220" s="70"/>
      <c r="M220" s="70"/>
      <c r="N220" s="70"/>
      <c r="O220" s="70"/>
      <c r="P220" s="70"/>
      <c r="Q220" s="131">
        <f t="shared" si="85"/>
        <v>1075</v>
      </c>
      <c r="R220" s="69"/>
      <c r="S220" s="69"/>
      <c r="T220" s="69">
        <v>25.4</v>
      </c>
      <c r="U220" s="69"/>
      <c r="V220" s="69"/>
      <c r="W220" s="69">
        <v>131.84</v>
      </c>
      <c r="X220" s="69"/>
      <c r="Y220" s="69"/>
      <c r="Z220" s="69"/>
      <c r="AA220" s="69"/>
      <c r="AB220" s="69"/>
      <c r="AC220" s="69"/>
      <c r="AD220" s="34">
        <f t="shared" si="86"/>
        <v>157.24</v>
      </c>
      <c r="AE220" s="52">
        <f t="shared" si="87"/>
        <v>917.76</v>
      </c>
      <c r="AF220" s="132">
        <f t="shared" si="82"/>
        <v>14.626976744186047</v>
      </c>
    </row>
    <row r="221" spans="2:32" s="66" customFormat="1" ht="84.75" customHeight="1">
      <c r="B221" s="143"/>
      <c r="C221" s="43">
        <v>85213</v>
      </c>
      <c r="D221" s="43"/>
      <c r="E221" s="45" t="s">
        <v>450</v>
      </c>
      <c r="F221" s="48">
        <f aca="true" t="shared" si="88" ref="F221:AE221">F222</f>
        <v>8640</v>
      </c>
      <c r="G221" s="46">
        <f t="shared" si="88"/>
        <v>9800</v>
      </c>
      <c r="H221" s="48">
        <f t="shared" si="88"/>
        <v>9800</v>
      </c>
      <c r="I221" s="48">
        <f t="shared" si="88"/>
        <v>9800</v>
      </c>
      <c r="J221" s="291"/>
      <c r="K221" s="49">
        <f t="shared" si="88"/>
        <v>0</v>
      </c>
      <c r="L221" s="49">
        <f t="shared" si="88"/>
        <v>0</v>
      </c>
      <c r="M221" s="49">
        <f t="shared" si="88"/>
        <v>0</v>
      </c>
      <c r="N221" s="49">
        <f t="shared" si="88"/>
        <v>0</v>
      </c>
      <c r="O221" s="49">
        <f t="shared" si="88"/>
        <v>0</v>
      </c>
      <c r="P221" s="49">
        <f t="shared" si="88"/>
        <v>0</v>
      </c>
      <c r="Q221" s="40">
        <f>Q222</f>
        <v>9800</v>
      </c>
      <c r="R221" s="48">
        <f t="shared" si="88"/>
        <v>551.71</v>
      </c>
      <c r="S221" s="48">
        <f t="shared" si="88"/>
        <v>525.46</v>
      </c>
      <c r="T221" s="48">
        <f t="shared" si="88"/>
        <v>598.96</v>
      </c>
      <c r="U221" s="48">
        <f t="shared" si="88"/>
        <v>534.47</v>
      </c>
      <c r="V221" s="48">
        <f t="shared" si="88"/>
        <v>534.47</v>
      </c>
      <c r="W221" s="48">
        <f t="shared" si="88"/>
        <v>534.47</v>
      </c>
      <c r="X221" s="48">
        <f t="shared" si="88"/>
        <v>0</v>
      </c>
      <c r="Y221" s="48">
        <f t="shared" si="88"/>
        <v>0</v>
      </c>
      <c r="Z221" s="48">
        <f t="shared" si="88"/>
        <v>0</v>
      </c>
      <c r="AA221" s="48">
        <f t="shared" si="88"/>
        <v>0</v>
      </c>
      <c r="AB221" s="48">
        <f t="shared" si="88"/>
        <v>0</v>
      </c>
      <c r="AC221" s="48">
        <f t="shared" si="88"/>
        <v>0</v>
      </c>
      <c r="AD221" s="48">
        <f t="shared" si="88"/>
        <v>3279.540000000001</v>
      </c>
      <c r="AE221" s="48">
        <f t="shared" si="88"/>
        <v>6520.459999999999</v>
      </c>
      <c r="AF221" s="130">
        <f t="shared" si="82"/>
        <v>33.464693877551035</v>
      </c>
    </row>
    <row r="222" spans="2:32" s="66" customFormat="1" ht="26.25" customHeight="1">
      <c r="B222" s="143"/>
      <c r="C222" s="67"/>
      <c r="D222" s="30">
        <v>4130</v>
      </c>
      <c r="E222" s="32" t="s">
        <v>546</v>
      </c>
      <c r="F222" s="69">
        <v>8640</v>
      </c>
      <c r="G222" s="68">
        <v>9800</v>
      </c>
      <c r="H222" s="69">
        <v>9800</v>
      </c>
      <c r="I222" s="69">
        <v>9800</v>
      </c>
      <c r="J222" s="291" t="s">
        <v>393</v>
      </c>
      <c r="K222" s="70"/>
      <c r="L222" s="70"/>
      <c r="M222" s="70"/>
      <c r="N222" s="70"/>
      <c r="O222" s="70"/>
      <c r="P222" s="70"/>
      <c r="Q222" s="131">
        <f t="shared" si="85"/>
        <v>9800</v>
      </c>
      <c r="R222" s="69">
        <f>357+194.71</f>
        <v>551.71</v>
      </c>
      <c r="S222" s="69">
        <f>330.75+194.71</f>
        <v>525.46</v>
      </c>
      <c r="T222" s="69">
        <f>404.25+194.71</f>
        <v>598.96</v>
      </c>
      <c r="U222" s="69">
        <f>367.5+166.97</f>
        <v>534.47</v>
      </c>
      <c r="V222" s="69">
        <f>367.5+166.97</f>
        <v>534.47</v>
      </c>
      <c r="W222" s="69">
        <f>367.5+166.97</f>
        <v>534.47</v>
      </c>
      <c r="X222" s="69"/>
      <c r="Y222" s="69"/>
      <c r="Z222" s="69"/>
      <c r="AA222" s="69"/>
      <c r="AB222" s="69"/>
      <c r="AC222" s="69"/>
      <c r="AD222" s="34">
        <f>SUM(R222:AC222)</f>
        <v>3279.540000000001</v>
      </c>
      <c r="AE222" s="52">
        <f>Q222-AD222</f>
        <v>6520.459999999999</v>
      </c>
      <c r="AF222" s="132">
        <f t="shared" si="82"/>
        <v>33.464693877551035</v>
      </c>
    </row>
    <row r="223" spans="2:32" s="42" customFormat="1" ht="55.5" customHeight="1">
      <c r="B223" s="129"/>
      <c r="C223" s="43">
        <v>85214</v>
      </c>
      <c r="D223" s="43"/>
      <c r="E223" s="45" t="s">
        <v>255</v>
      </c>
      <c r="F223" s="48">
        <f>F224+F225+F226</f>
        <v>245041</v>
      </c>
      <c r="G223" s="46">
        <f>G224+G225+G226</f>
        <v>294700</v>
      </c>
      <c r="H223" s="48">
        <f>H224+H225+H226</f>
        <v>256500</v>
      </c>
      <c r="I223" s="48">
        <f>I224+I225+I226</f>
        <v>256500</v>
      </c>
      <c r="J223" s="289"/>
      <c r="K223" s="49">
        <f aca="true" t="shared" si="89" ref="K223:P223">K224+K225+K226</f>
        <v>0</v>
      </c>
      <c r="L223" s="49">
        <f t="shared" si="89"/>
        <v>0</v>
      </c>
      <c r="M223" s="49">
        <f t="shared" si="89"/>
        <v>0</v>
      </c>
      <c r="N223" s="49">
        <f t="shared" si="89"/>
        <v>7361</v>
      </c>
      <c r="O223" s="49">
        <f t="shared" si="89"/>
        <v>0</v>
      </c>
      <c r="P223" s="49">
        <f t="shared" si="89"/>
        <v>0</v>
      </c>
      <c r="Q223" s="40">
        <f>SUM(Q224:Q226)</f>
        <v>263861</v>
      </c>
      <c r="R223" s="48">
        <f>R224+R225+R226</f>
        <v>9031.05</v>
      </c>
      <c r="S223" s="48">
        <f aca="true" t="shared" si="90" ref="S223:Z223">S224+S225+S226</f>
        <v>20672.59</v>
      </c>
      <c r="T223" s="48">
        <f t="shared" si="90"/>
        <v>21438.79</v>
      </c>
      <c r="U223" s="48">
        <f t="shared" si="90"/>
        <v>15913.859999999999</v>
      </c>
      <c r="V223" s="48">
        <f t="shared" si="90"/>
        <v>12339.16</v>
      </c>
      <c r="W223" s="48">
        <f t="shared" si="90"/>
        <v>11997.869999999999</v>
      </c>
      <c r="X223" s="48">
        <f t="shared" si="90"/>
        <v>0</v>
      </c>
      <c r="Y223" s="48">
        <f t="shared" si="90"/>
        <v>0</v>
      </c>
      <c r="Z223" s="48">
        <f t="shared" si="90"/>
        <v>0</v>
      </c>
      <c r="AA223" s="48">
        <f>AA224+AA225+AA226</f>
        <v>0</v>
      </c>
      <c r="AB223" s="48">
        <f>AB224+AB225+AB226</f>
        <v>0</v>
      </c>
      <c r="AC223" s="48">
        <f>AC224+AC225+AC226</f>
        <v>0</v>
      </c>
      <c r="AD223" s="48">
        <f>AD224+AD225+AD226</f>
        <v>91393.32</v>
      </c>
      <c r="AE223" s="48">
        <f>AE224+AE225+AE226</f>
        <v>172467.68</v>
      </c>
      <c r="AF223" s="130">
        <f t="shared" si="82"/>
        <v>34.63691868066899</v>
      </c>
    </row>
    <row r="224" spans="2:32" s="42" customFormat="1" ht="21" customHeight="1">
      <c r="B224" s="129"/>
      <c r="C224" s="30"/>
      <c r="D224" s="30">
        <v>3110</v>
      </c>
      <c r="E224" s="32" t="s">
        <v>545</v>
      </c>
      <c r="F224" s="52">
        <v>221741</v>
      </c>
      <c r="G224" s="51">
        <v>232000</v>
      </c>
      <c r="H224" s="52">
        <f>63800+130000</f>
        <v>193800</v>
      </c>
      <c r="I224" s="52">
        <f>63800+130000</f>
        <v>193800</v>
      </c>
      <c r="J224" s="289" t="s">
        <v>256</v>
      </c>
      <c r="K224" s="53"/>
      <c r="L224" s="53"/>
      <c r="M224" s="53"/>
      <c r="N224" s="53">
        <v>7361</v>
      </c>
      <c r="O224" s="53"/>
      <c r="P224" s="53"/>
      <c r="Q224" s="131">
        <f t="shared" si="85"/>
        <v>201161</v>
      </c>
      <c r="R224" s="52">
        <v>7545.15</v>
      </c>
      <c r="S224" s="52">
        <v>19186.57</v>
      </c>
      <c r="T224" s="52">
        <v>19952.77</v>
      </c>
      <c r="U224" s="52">
        <v>13930.72</v>
      </c>
      <c r="V224" s="52">
        <v>12339.16</v>
      </c>
      <c r="W224" s="52">
        <v>9022.98</v>
      </c>
      <c r="X224" s="52"/>
      <c r="Y224" s="52"/>
      <c r="Z224" s="52"/>
      <c r="AA224" s="52"/>
      <c r="AB224" s="52"/>
      <c r="AC224" s="52"/>
      <c r="AD224" s="34">
        <f>SUM(R224:AC224)</f>
        <v>81977.35</v>
      </c>
      <c r="AE224" s="52">
        <f>Q224-AD224</f>
        <v>119183.65</v>
      </c>
      <c r="AF224" s="132">
        <f t="shared" si="82"/>
        <v>40.752109007213136</v>
      </c>
    </row>
    <row r="225" spans="2:32" s="42" customFormat="1" ht="29.25" customHeight="1">
      <c r="B225" s="129"/>
      <c r="C225" s="30"/>
      <c r="D225" s="30">
        <v>4110</v>
      </c>
      <c r="E225" s="32" t="s">
        <v>547</v>
      </c>
      <c r="F225" s="52">
        <v>3300</v>
      </c>
      <c r="G225" s="51">
        <v>3300</v>
      </c>
      <c r="H225" s="52">
        <v>3300</v>
      </c>
      <c r="I225" s="52">
        <v>3300</v>
      </c>
      <c r="J225" s="289" t="s">
        <v>257</v>
      </c>
      <c r="K225" s="53"/>
      <c r="L225" s="53"/>
      <c r="M225" s="53"/>
      <c r="N225" s="53"/>
      <c r="O225" s="53"/>
      <c r="P225" s="53"/>
      <c r="Q225" s="131">
        <f t="shared" si="85"/>
        <v>3300</v>
      </c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34">
        <f>SUM(R225:AC225)</f>
        <v>0</v>
      </c>
      <c r="AE225" s="52">
        <f>Q225-AD225</f>
        <v>3300</v>
      </c>
      <c r="AF225" s="132">
        <f t="shared" si="82"/>
        <v>0</v>
      </c>
    </row>
    <row r="226" spans="2:32" s="42" customFormat="1" ht="54" customHeight="1">
      <c r="B226" s="129"/>
      <c r="C226" s="30"/>
      <c r="D226" s="30">
        <v>4330</v>
      </c>
      <c r="E226" s="32" t="s">
        <v>548</v>
      </c>
      <c r="F226" s="52">
        <v>20000</v>
      </c>
      <c r="G226" s="51">
        <v>59400</v>
      </c>
      <c r="H226" s="52">
        <v>59400</v>
      </c>
      <c r="I226" s="52">
        <v>59400</v>
      </c>
      <c r="J226" s="289"/>
      <c r="K226" s="53"/>
      <c r="L226" s="53"/>
      <c r="M226" s="53"/>
      <c r="N226" s="53"/>
      <c r="O226" s="53"/>
      <c r="P226" s="53"/>
      <c r="Q226" s="131">
        <f t="shared" si="85"/>
        <v>59400</v>
      </c>
      <c r="R226" s="52">
        <v>1485.9</v>
      </c>
      <c r="S226" s="52">
        <v>1486.02</v>
      </c>
      <c r="T226" s="52">
        <v>1486.02</v>
      </c>
      <c r="U226" s="52">
        <v>1983.14</v>
      </c>
      <c r="V226" s="52"/>
      <c r="W226" s="52">
        <v>2974.89</v>
      </c>
      <c r="X226" s="52"/>
      <c r="Y226" s="52"/>
      <c r="Z226" s="52"/>
      <c r="AA226" s="52"/>
      <c r="AB226" s="52"/>
      <c r="AC226" s="52"/>
      <c r="AD226" s="34">
        <f>SUM(R226:AC226)</f>
        <v>9415.970000000001</v>
      </c>
      <c r="AE226" s="52">
        <f>Q226-AD226</f>
        <v>49984.03</v>
      </c>
      <c r="AF226" s="132">
        <f t="shared" si="82"/>
        <v>15.851801346801349</v>
      </c>
    </row>
    <row r="227" spans="2:32" s="42" customFormat="1" ht="16.5" customHeight="1">
      <c r="B227" s="129"/>
      <c r="C227" s="43">
        <v>85215</v>
      </c>
      <c r="D227" s="43"/>
      <c r="E227" s="45" t="s">
        <v>121</v>
      </c>
      <c r="F227" s="48">
        <f aca="true" t="shared" si="91" ref="F227:AE227">SUM(F228)</f>
        <v>215000</v>
      </c>
      <c r="G227" s="46">
        <f t="shared" si="91"/>
        <v>230000</v>
      </c>
      <c r="H227" s="48">
        <f t="shared" si="91"/>
        <v>220000</v>
      </c>
      <c r="I227" s="48">
        <f t="shared" si="91"/>
        <v>210000</v>
      </c>
      <c r="J227" s="289"/>
      <c r="K227" s="49">
        <f t="shared" si="91"/>
        <v>0</v>
      </c>
      <c r="L227" s="49">
        <f t="shared" si="91"/>
        <v>0</v>
      </c>
      <c r="M227" s="49">
        <f t="shared" si="91"/>
        <v>0</v>
      </c>
      <c r="N227" s="49">
        <f t="shared" si="91"/>
        <v>0</v>
      </c>
      <c r="O227" s="49">
        <f t="shared" si="91"/>
        <v>0</v>
      </c>
      <c r="P227" s="49">
        <f t="shared" si="91"/>
        <v>0</v>
      </c>
      <c r="Q227" s="40">
        <f>SUM(Q228)</f>
        <v>210000</v>
      </c>
      <c r="R227" s="48">
        <f t="shared" si="91"/>
        <v>14508.78</v>
      </c>
      <c r="S227" s="48">
        <f t="shared" si="91"/>
        <v>13534.21</v>
      </c>
      <c r="T227" s="48">
        <f t="shared" si="91"/>
        <v>15808.42</v>
      </c>
      <c r="U227" s="48">
        <f t="shared" si="91"/>
        <v>14820.56</v>
      </c>
      <c r="V227" s="48">
        <f t="shared" si="91"/>
        <v>15537.19</v>
      </c>
      <c r="W227" s="48">
        <f t="shared" si="91"/>
        <v>14795.57</v>
      </c>
      <c r="X227" s="48">
        <f t="shared" si="91"/>
        <v>0</v>
      </c>
      <c r="Y227" s="48">
        <f t="shared" si="91"/>
        <v>0</v>
      </c>
      <c r="Z227" s="48">
        <f t="shared" si="91"/>
        <v>0</v>
      </c>
      <c r="AA227" s="48">
        <f t="shared" si="91"/>
        <v>0</v>
      </c>
      <c r="AB227" s="48">
        <f t="shared" si="91"/>
        <v>0</v>
      </c>
      <c r="AC227" s="48">
        <f t="shared" si="91"/>
        <v>0</v>
      </c>
      <c r="AD227" s="48">
        <f t="shared" si="91"/>
        <v>89004.72999999998</v>
      </c>
      <c r="AE227" s="48">
        <f t="shared" si="91"/>
        <v>120995.27000000002</v>
      </c>
      <c r="AF227" s="130">
        <f t="shared" si="82"/>
        <v>42.38320476190475</v>
      </c>
    </row>
    <row r="228" spans="2:32" s="42" customFormat="1" ht="16.5" customHeight="1">
      <c r="B228" s="129"/>
      <c r="C228" s="30"/>
      <c r="D228" s="30">
        <v>3110</v>
      </c>
      <c r="E228" s="32" t="s">
        <v>545</v>
      </c>
      <c r="F228" s="52">
        <v>215000</v>
      </c>
      <c r="G228" s="51">
        <v>230000</v>
      </c>
      <c r="H228" s="52">
        <v>220000</v>
      </c>
      <c r="I228" s="52">
        <v>210000</v>
      </c>
      <c r="J228" s="289" t="s">
        <v>394</v>
      </c>
      <c r="K228" s="53"/>
      <c r="L228" s="53"/>
      <c r="M228" s="53"/>
      <c r="N228" s="53"/>
      <c r="O228" s="53"/>
      <c r="P228" s="53"/>
      <c r="Q228" s="131">
        <f t="shared" si="85"/>
        <v>210000</v>
      </c>
      <c r="R228" s="52">
        <v>14508.78</v>
      </c>
      <c r="S228" s="52">
        <v>13534.21</v>
      </c>
      <c r="T228" s="52">
        <v>15808.42</v>
      </c>
      <c r="U228" s="52">
        <v>14820.56</v>
      </c>
      <c r="V228" s="52">
        <v>15537.19</v>
      </c>
      <c r="W228" s="52">
        <v>14795.57</v>
      </c>
      <c r="X228" s="52"/>
      <c r="Y228" s="52"/>
      <c r="Z228" s="52"/>
      <c r="AA228" s="52"/>
      <c r="AB228" s="52"/>
      <c r="AC228" s="52"/>
      <c r="AD228" s="34">
        <f>SUM(R228:AC228)</f>
        <v>89004.72999999998</v>
      </c>
      <c r="AE228" s="52">
        <f>Q228-AD228</f>
        <v>120995.27000000002</v>
      </c>
      <c r="AF228" s="132">
        <f t="shared" si="82"/>
        <v>42.38320476190475</v>
      </c>
    </row>
    <row r="229" spans="2:32" s="42" customFormat="1" ht="18.75" customHeight="1">
      <c r="B229" s="129"/>
      <c r="C229" s="43">
        <v>85219</v>
      </c>
      <c r="D229" s="43"/>
      <c r="E229" s="45" t="s">
        <v>452</v>
      </c>
      <c r="F229" s="48">
        <f>SUM(F230:F242)</f>
        <v>372100</v>
      </c>
      <c r="G229" s="46">
        <f>SUM(G230:G242)</f>
        <v>414000</v>
      </c>
      <c r="H229" s="48">
        <f>SUM(H230:H242)</f>
        <v>395700</v>
      </c>
      <c r="I229" s="48">
        <f>SUM(I230:I242)</f>
        <v>387600</v>
      </c>
      <c r="J229" s="289" t="s">
        <v>258</v>
      </c>
      <c r="K229" s="49">
        <f aca="true" t="shared" si="92" ref="K229:P229">SUM(K230:K242)</f>
        <v>0</v>
      </c>
      <c r="L229" s="49">
        <f t="shared" si="92"/>
        <v>0</v>
      </c>
      <c r="M229" s="49">
        <f t="shared" si="92"/>
        <v>9000</v>
      </c>
      <c r="N229" s="49">
        <f t="shared" si="92"/>
        <v>0</v>
      </c>
      <c r="O229" s="49">
        <f t="shared" si="92"/>
        <v>0</v>
      </c>
      <c r="P229" s="49">
        <f t="shared" si="92"/>
        <v>0</v>
      </c>
      <c r="Q229" s="40">
        <f>SUM(Q230:Q243)</f>
        <v>396600</v>
      </c>
      <c r="R229" s="48">
        <f>SUM(R230:R242)</f>
        <v>24679.840000000004</v>
      </c>
      <c r="S229" s="48">
        <f aca="true" t="shared" si="93" ref="S229:Z229">SUM(S230:S242)</f>
        <v>37344.59000000001</v>
      </c>
      <c r="T229" s="48">
        <f t="shared" si="93"/>
        <v>37345.170000000006</v>
      </c>
      <c r="U229" s="48">
        <f t="shared" si="93"/>
        <v>26049.6</v>
      </c>
      <c r="V229" s="48">
        <f t="shared" si="93"/>
        <v>27328.87</v>
      </c>
      <c r="W229" s="48">
        <f t="shared" si="93"/>
        <v>35817.04</v>
      </c>
      <c r="X229" s="48">
        <f t="shared" si="93"/>
        <v>0</v>
      </c>
      <c r="Y229" s="48">
        <f t="shared" si="93"/>
        <v>0</v>
      </c>
      <c r="Z229" s="48">
        <f t="shared" si="93"/>
        <v>0</v>
      </c>
      <c r="AA229" s="48">
        <f>SUM(AA230:AA242)</f>
        <v>0</v>
      </c>
      <c r="AB229" s="48">
        <f>SUM(AB230:AB242)</f>
        <v>0</v>
      </c>
      <c r="AC229" s="48">
        <f>SUM(AC230:AC242)</f>
        <v>0</v>
      </c>
      <c r="AD229" s="48">
        <f>SUM(AD230:AD243)</f>
        <v>188565.11000000002</v>
      </c>
      <c r="AE229" s="48">
        <f>SUM(AE230:AE243)</f>
        <v>208034.88999999998</v>
      </c>
      <c r="AF229" s="130">
        <f t="shared" si="82"/>
        <v>47.54541351487645</v>
      </c>
    </row>
    <row r="230" spans="2:32" s="42" customFormat="1" ht="29.25" customHeight="1">
      <c r="B230" s="129"/>
      <c r="C230" s="30"/>
      <c r="D230" s="30">
        <v>3020</v>
      </c>
      <c r="E230" s="32" t="s">
        <v>493</v>
      </c>
      <c r="F230" s="52">
        <v>5000</v>
      </c>
      <c r="G230" s="51">
        <v>5500</v>
      </c>
      <c r="H230" s="52">
        <v>5500</v>
      </c>
      <c r="I230" s="52">
        <v>5500</v>
      </c>
      <c r="J230" s="289" t="s">
        <v>395</v>
      </c>
      <c r="K230" s="53"/>
      <c r="L230" s="53"/>
      <c r="M230" s="53"/>
      <c r="N230" s="53"/>
      <c r="O230" s="53"/>
      <c r="P230" s="53"/>
      <c r="Q230" s="131">
        <f t="shared" si="85"/>
        <v>5500</v>
      </c>
      <c r="R230" s="52"/>
      <c r="S230" s="52">
        <v>272.89</v>
      </c>
      <c r="T230" s="52"/>
      <c r="U230" s="52">
        <v>211.48</v>
      </c>
      <c r="V230" s="52"/>
      <c r="W230" s="52"/>
      <c r="X230" s="52"/>
      <c r="Y230" s="52"/>
      <c r="Z230" s="52"/>
      <c r="AA230" s="52"/>
      <c r="AB230" s="52"/>
      <c r="AC230" s="52"/>
      <c r="AD230" s="34">
        <f aca="true" t="shared" si="94" ref="AD230:AD243">SUM(R230:AC230)</f>
        <v>484.37</v>
      </c>
      <c r="AE230" s="52">
        <f aca="true" t="shared" si="95" ref="AE230:AE243">Q230-AD230</f>
        <v>5015.63</v>
      </c>
      <c r="AF230" s="132">
        <f t="shared" si="82"/>
        <v>8.806727272727272</v>
      </c>
    </row>
    <row r="231" spans="2:32" s="42" customFormat="1" ht="27.75" customHeight="1">
      <c r="B231" s="129"/>
      <c r="C231" s="30"/>
      <c r="D231" s="30">
        <v>4010</v>
      </c>
      <c r="E231" s="32" t="s">
        <v>487</v>
      </c>
      <c r="F231" s="52">
        <v>219900</v>
      </c>
      <c r="G231" s="51">
        <v>247000</v>
      </c>
      <c r="H231" s="52">
        <v>241100</v>
      </c>
      <c r="I231" s="52">
        <v>236600</v>
      </c>
      <c r="J231" s="289"/>
      <c r="K231" s="53"/>
      <c r="L231" s="53"/>
      <c r="M231" s="53">
        <v>9000</v>
      </c>
      <c r="N231" s="53"/>
      <c r="O231" s="53"/>
      <c r="P231" s="53"/>
      <c r="Q231" s="131">
        <f t="shared" si="85"/>
        <v>245600</v>
      </c>
      <c r="R231" s="52">
        <v>18174.36</v>
      </c>
      <c r="S231" s="52">
        <v>18745.84</v>
      </c>
      <c r="T231" s="52">
        <v>18581.56</v>
      </c>
      <c r="U231" s="52">
        <v>18482.15</v>
      </c>
      <c r="V231" s="52">
        <v>18926.07</v>
      </c>
      <c r="W231" s="52">
        <v>22934.87</v>
      </c>
      <c r="X231" s="52"/>
      <c r="Y231" s="52"/>
      <c r="Z231" s="52"/>
      <c r="AA231" s="52"/>
      <c r="AB231" s="52"/>
      <c r="AC231" s="52"/>
      <c r="AD231" s="34">
        <f t="shared" si="94"/>
        <v>115844.85</v>
      </c>
      <c r="AE231" s="52">
        <f t="shared" si="95"/>
        <v>129755.15</v>
      </c>
      <c r="AF231" s="132">
        <f t="shared" si="82"/>
        <v>47.16809853420195</v>
      </c>
    </row>
    <row r="232" spans="2:32" s="42" customFormat="1" ht="25.5">
      <c r="B232" s="129"/>
      <c r="C232" s="30"/>
      <c r="D232" s="30">
        <v>4040</v>
      </c>
      <c r="E232" s="32" t="s">
        <v>494</v>
      </c>
      <c r="F232" s="52">
        <v>16128</v>
      </c>
      <c r="G232" s="51">
        <v>17800</v>
      </c>
      <c r="H232" s="52">
        <v>17800</v>
      </c>
      <c r="I232" s="52">
        <v>17500</v>
      </c>
      <c r="J232" s="289"/>
      <c r="K232" s="53"/>
      <c r="L232" s="53"/>
      <c r="M232" s="53"/>
      <c r="N232" s="53"/>
      <c r="O232" s="53"/>
      <c r="P232" s="53"/>
      <c r="Q232" s="131">
        <f t="shared" si="85"/>
        <v>17500</v>
      </c>
      <c r="R232" s="52"/>
      <c r="S232" s="52">
        <v>10912.48</v>
      </c>
      <c r="T232" s="52">
        <v>5868.24</v>
      </c>
      <c r="U232" s="52"/>
      <c r="V232" s="52"/>
      <c r="W232" s="52"/>
      <c r="X232" s="52"/>
      <c r="Y232" s="52"/>
      <c r="Z232" s="52"/>
      <c r="AA232" s="52"/>
      <c r="AB232" s="52"/>
      <c r="AC232" s="52"/>
      <c r="AD232" s="34">
        <f t="shared" si="94"/>
        <v>16780.72</v>
      </c>
      <c r="AE232" s="52">
        <f t="shared" si="95"/>
        <v>719.2799999999988</v>
      </c>
      <c r="AF232" s="132">
        <f t="shared" si="82"/>
        <v>95.88982857142857</v>
      </c>
    </row>
    <row r="233" spans="2:32" s="42" customFormat="1" ht="25.5">
      <c r="B233" s="129"/>
      <c r="C233" s="30"/>
      <c r="D233" s="30">
        <v>4110</v>
      </c>
      <c r="E233" s="32" t="s">
        <v>488</v>
      </c>
      <c r="F233" s="52">
        <v>44400</v>
      </c>
      <c r="G233" s="51">
        <v>46600</v>
      </c>
      <c r="H233" s="52">
        <v>46300</v>
      </c>
      <c r="I233" s="52">
        <v>45500</v>
      </c>
      <c r="J233" s="289"/>
      <c r="K233" s="53"/>
      <c r="L233" s="53"/>
      <c r="M233" s="53"/>
      <c r="N233" s="53"/>
      <c r="O233" s="53"/>
      <c r="P233" s="53"/>
      <c r="Q233" s="131">
        <f t="shared" si="85"/>
        <v>45500</v>
      </c>
      <c r="R233" s="52">
        <v>3230.41</v>
      </c>
      <c r="S233" s="52">
        <v>3413.98</v>
      </c>
      <c r="T233" s="52">
        <v>6338.53</v>
      </c>
      <c r="U233" s="52">
        <v>3371.37</v>
      </c>
      <c r="V233" s="52">
        <v>3413.98</v>
      </c>
      <c r="W233" s="52">
        <v>3365.16</v>
      </c>
      <c r="X233" s="52"/>
      <c r="Y233" s="52"/>
      <c r="Z233" s="52"/>
      <c r="AA233" s="52"/>
      <c r="AB233" s="52"/>
      <c r="AC233" s="52"/>
      <c r="AD233" s="34">
        <f t="shared" si="94"/>
        <v>23133.429999999997</v>
      </c>
      <c r="AE233" s="52">
        <f t="shared" si="95"/>
        <v>22366.570000000003</v>
      </c>
      <c r="AF233" s="132">
        <f t="shared" si="82"/>
        <v>50.842703296703284</v>
      </c>
    </row>
    <row r="234" spans="2:32" s="42" customFormat="1" ht="16.5" customHeight="1">
      <c r="B234" s="129"/>
      <c r="C234" s="30"/>
      <c r="D234" s="30">
        <v>4120</v>
      </c>
      <c r="E234" s="32" t="s">
        <v>122</v>
      </c>
      <c r="F234" s="52">
        <v>5900</v>
      </c>
      <c r="G234" s="51">
        <v>6400</v>
      </c>
      <c r="H234" s="52">
        <v>6300</v>
      </c>
      <c r="I234" s="52">
        <v>6300</v>
      </c>
      <c r="J234" s="289"/>
      <c r="K234" s="53"/>
      <c r="L234" s="53"/>
      <c r="M234" s="53"/>
      <c r="N234" s="53"/>
      <c r="O234" s="53"/>
      <c r="P234" s="53"/>
      <c r="Q234" s="131">
        <f t="shared" si="85"/>
        <v>6300</v>
      </c>
      <c r="R234" s="52">
        <v>435.1</v>
      </c>
      <c r="S234" s="52">
        <v>459.83</v>
      </c>
      <c r="T234" s="52">
        <v>853.74</v>
      </c>
      <c r="U234" s="52">
        <v>454.09</v>
      </c>
      <c r="V234" s="52">
        <v>459.83</v>
      </c>
      <c r="W234" s="52">
        <v>459.83</v>
      </c>
      <c r="X234" s="52"/>
      <c r="Y234" s="52"/>
      <c r="Z234" s="52"/>
      <c r="AA234" s="52"/>
      <c r="AB234" s="52"/>
      <c r="AC234" s="52"/>
      <c r="AD234" s="34">
        <f t="shared" si="94"/>
        <v>3122.42</v>
      </c>
      <c r="AE234" s="52">
        <f t="shared" si="95"/>
        <v>3177.58</v>
      </c>
      <c r="AF234" s="132">
        <f t="shared" si="82"/>
        <v>49.562222222222225</v>
      </c>
    </row>
    <row r="235" spans="2:32" s="42" customFormat="1" ht="15.75" customHeight="1">
      <c r="B235" s="129"/>
      <c r="C235" s="30"/>
      <c r="D235" s="30">
        <v>4170</v>
      </c>
      <c r="E235" s="32" t="s">
        <v>543</v>
      </c>
      <c r="F235" s="52">
        <v>5456</v>
      </c>
      <c r="G235" s="51">
        <v>8000</v>
      </c>
      <c r="H235" s="52">
        <v>8000</v>
      </c>
      <c r="I235" s="52">
        <v>8000</v>
      </c>
      <c r="J235" s="289" t="s">
        <v>396</v>
      </c>
      <c r="K235" s="53"/>
      <c r="L235" s="53"/>
      <c r="M235" s="53"/>
      <c r="N235" s="53"/>
      <c r="O235" s="53"/>
      <c r="P235" s="53"/>
      <c r="Q235" s="131">
        <f t="shared" si="85"/>
        <v>8000</v>
      </c>
      <c r="R235" s="52"/>
      <c r="S235" s="52">
        <v>438</v>
      </c>
      <c r="T235" s="52">
        <v>42</v>
      </c>
      <c r="U235" s="52"/>
      <c r="V235" s="52">
        <v>1612.5</v>
      </c>
      <c r="W235" s="52">
        <v>547.5</v>
      </c>
      <c r="X235" s="52"/>
      <c r="Y235" s="52"/>
      <c r="Z235" s="52"/>
      <c r="AA235" s="52"/>
      <c r="AB235" s="52"/>
      <c r="AC235" s="52"/>
      <c r="AD235" s="34">
        <f t="shared" si="94"/>
        <v>2640</v>
      </c>
      <c r="AE235" s="52">
        <f t="shared" si="95"/>
        <v>5360</v>
      </c>
      <c r="AF235" s="132">
        <f t="shared" si="82"/>
        <v>33</v>
      </c>
    </row>
    <row r="236" spans="2:32" s="42" customFormat="1" ht="27" customHeight="1">
      <c r="B236" s="129"/>
      <c r="C236" s="30"/>
      <c r="D236" s="30">
        <v>4210</v>
      </c>
      <c r="E236" s="32" t="s">
        <v>469</v>
      </c>
      <c r="F236" s="52">
        <v>18872</v>
      </c>
      <c r="G236" s="51">
        <v>18000</v>
      </c>
      <c r="H236" s="52">
        <v>15000</v>
      </c>
      <c r="I236" s="52">
        <v>15000</v>
      </c>
      <c r="J236" s="289" t="s">
        <v>397</v>
      </c>
      <c r="K236" s="53"/>
      <c r="L236" s="53"/>
      <c r="M236" s="53"/>
      <c r="N236" s="53"/>
      <c r="O236" s="53"/>
      <c r="P236" s="53"/>
      <c r="Q236" s="131">
        <f t="shared" si="85"/>
        <v>15000</v>
      </c>
      <c r="R236" s="52"/>
      <c r="S236" s="52"/>
      <c r="T236" s="52">
        <v>951.1</v>
      </c>
      <c r="U236" s="52">
        <v>14.64</v>
      </c>
      <c r="V236" s="52">
        <v>29.35</v>
      </c>
      <c r="W236" s="52"/>
      <c r="X236" s="52"/>
      <c r="Y236" s="52"/>
      <c r="Z236" s="52"/>
      <c r="AA236" s="52"/>
      <c r="AB236" s="52"/>
      <c r="AC236" s="52"/>
      <c r="AD236" s="34">
        <f t="shared" si="94"/>
        <v>995.09</v>
      </c>
      <c r="AE236" s="52">
        <f t="shared" si="95"/>
        <v>14004.91</v>
      </c>
      <c r="AF236" s="132">
        <f t="shared" si="82"/>
        <v>6.633933333333333</v>
      </c>
    </row>
    <row r="237" spans="2:32" s="42" customFormat="1" ht="18" customHeight="1">
      <c r="B237" s="129"/>
      <c r="C237" s="30"/>
      <c r="D237" s="30">
        <v>4260</v>
      </c>
      <c r="E237" s="32" t="s">
        <v>496</v>
      </c>
      <c r="F237" s="52">
        <v>8000</v>
      </c>
      <c r="G237" s="51">
        <v>9600</v>
      </c>
      <c r="H237" s="52">
        <v>8000</v>
      </c>
      <c r="I237" s="52">
        <v>8000</v>
      </c>
      <c r="J237" s="289" t="s">
        <v>398</v>
      </c>
      <c r="K237" s="53"/>
      <c r="L237" s="53"/>
      <c r="M237" s="53"/>
      <c r="N237" s="53"/>
      <c r="O237" s="53"/>
      <c r="P237" s="53"/>
      <c r="Q237" s="131">
        <f t="shared" si="85"/>
        <v>8000</v>
      </c>
      <c r="R237" s="52">
        <v>362.33</v>
      </c>
      <c r="S237" s="52">
        <v>742.23</v>
      </c>
      <c r="T237" s="52">
        <v>351.84</v>
      </c>
      <c r="U237" s="52">
        <v>332.15</v>
      </c>
      <c r="V237" s="52">
        <v>363.71</v>
      </c>
      <c r="W237" s="52">
        <v>977.7</v>
      </c>
      <c r="X237" s="52"/>
      <c r="Y237" s="52"/>
      <c r="Z237" s="52"/>
      <c r="AA237" s="52"/>
      <c r="AB237" s="52"/>
      <c r="AC237" s="52"/>
      <c r="AD237" s="34">
        <f t="shared" si="94"/>
        <v>3129.96</v>
      </c>
      <c r="AE237" s="52">
        <f t="shared" si="95"/>
        <v>4870.04</v>
      </c>
      <c r="AF237" s="132">
        <f t="shared" si="82"/>
        <v>39.1245</v>
      </c>
    </row>
    <row r="238" spans="2:32" s="42" customFormat="1" ht="16.5" customHeight="1">
      <c r="B238" s="129"/>
      <c r="C238" s="30"/>
      <c r="D238" s="30">
        <v>4270</v>
      </c>
      <c r="E238" s="32" t="s">
        <v>499</v>
      </c>
      <c r="F238" s="52">
        <v>2000</v>
      </c>
      <c r="G238" s="51">
        <v>4000</v>
      </c>
      <c r="H238" s="52">
        <v>2000</v>
      </c>
      <c r="I238" s="52">
        <v>2000</v>
      </c>
      <c r="J238" s="289" t="s">
        <v>399</v>
      </c>
      <c r="K238" s="53"/>
      <c r="L238" s="53"/>
      <c r="M238" s="53"/>
      <c r="N238" s="53"/>
      <c r="O238" s="53"/>
      <c r="P238" s="53"/>
      <c r="Q238" s="131">
        <f t="shared" si="85"/>
        <v>2000</v>
      </c>
      <c r="R238" s="52">
        <v>92.72</v>
      </c>
      <c r="S238" s="52"/>
      <c r="T238" s="52">
        <v>79.3</v>
      </c>
      <c r="U238" s="52">
        <v>122</v>
      </c>
      <c r="V238" s="52">
        <v>9.76</v>
      </c>
      <c r="W238" s="52"/>
      <c r="X238" s="52"/>
      <c r="Y238" s="52"/>
      <c r="Z238" s="52"/>
      <c r="AA238" s="52"/>
      <c r="AB238" s="52"/>
      <c r="AC238" s="52"/>
      <c r="AD238" s="34">
        <f t="shared" si="94"/>
        <v>303.78</v>
      </c>
      <c r="AE238" s="52">
        <f t="shared" si="95"/>
        <v>1696.22</v>
      </c>
      <c r="AF238" s="132">
        <f t="shared" si="82"/>
        <v>15.188999999999998</v>
      </c>
    </row>
    <row r="239" spans="2:32" s="42" customFormat="1" ht="18.75" customHeight="1">
      <c r="B239" s="129"/>
      <c r="C239" s="30"/>
      <c r="D239" s="30">
        <v>4300</v>
      </c>
      <c r="E239" s="32" t="s">
        <v>471</v>
      </c>
      <c r="F239" s="52">
        <v>28800</v>
      </c>
      <c r="G239" s="51">
        <v>32000</v>
      </c>
      <c r="H239" s="52">
        <v>30000</v>
      </c>
      <c r="I239" s="52">
        <f>30000-3000</f>
        <v>27000</v>
      </c>
      <c r="J239" s="289" t="s">
        <v>400</v>
      </c>
      <c r="K239" s="53"/>
      <c r="L239" s="53"/>
      <c r="M239" s="53"/>
      <c r="N239" s="53"/>
      <c r="O239" s="53"/>
      <c r="P239" s="53"/>
      <c r="Q239" s="131">
        <f t="shared" si="85"/>
        <v>27000</v>
      </c>
      <c r="R239" s="52">
        <v>1908.38</v>
      </c>
      <c r="S239" s="52">
        <v>1745.69</v>
      </c>
      <c r="T239" s="52">
        <v>3668.87</v>
      </c>
      <c r="U239" s="52">
        <v>2658.55</v>
      </c>
      <c r="V239" s="52">
        <v>1668.33</v>
      </c>
      <c r="W239" s="52">
        <v>1402.51</v>
      </c>
      <c r="X239" s="52"/>
      <c r="Y239" s="52"/>
      <c r="Z239" s="52"/>
      <c r="AA239" s="52"/>
      <c r="AB239" s="52"/>
      <c r="AC239" s="52"/>
      <c r="AD239" s="34">
        <f t="shared" si="94"/>
        <v>13052.330000000002</v>
      </c>
      <c r="AE239" s="52">
        <f t="shared" si="95"/>
        <v>13947.669999999998</v>
      </c>
      <c r="AF239" s="132">
        <f t="shared" si="82"/>
        <v>48.341962962962974</v>
      </c>
    </row>
    <row r="240" spans="2:32" s="42" customFormat="1" ht="18" customHeight="1">
      <c r="B240" s="129"/>
      <c r="C240" s="30"/>
      <c r="D240" s="30">
        <v>4410</v>
      </c>
      <c r="E240" s="32" t="s">
        <v>491</v>
      </c>
      <c r="F240" s="52">
        <v>10000</v>
      </c>
      <c r="G240" s="51">
        <v>11400</v>
      </c>
      <c r="H240" s="52">
        <v>8000</v>
      </c>
      <c r="I240" s="52">
        <v>8000</v>
      </c>
      <c r="J240" s="289" t="s">
        <v>401</v>
      </c>
      <c r="K240" s="53"/>
      <c r="L240" s="53"/>
      <c r="M240" s="53"/>
      <c r="N240" s="53"/>
      <c r="O240" s="53"/>
      <c r="P240" s="53"/>
      <c r="Q240" s="131">
        <f t="shared" si="85"/>
        <v>8000</v>
      </c>
      <c r="R240" s="52">
        <v>476.54</v>
      </c>
      <c r="S240" s="52">
        <v>613.65</v>
      </c>
      <c r="T240" s="52">
        <v>609.99</v>
      </c>
      <c r="U240" s="52">
        <v>403.17</v>
      </c>
      <c r="V240" s="52">
        <v>845.34</v>
      </c>
      <c r="W240" s="52">
        <v>579.47</v>
      </c>
      <c r="X240" s="52"/>
      <c r="Y240" s="52"/>
      <c r="Z240" s="52"/>
      <c r="AA240" s="52"/>
      <c r="AB240" s="52"/>
      <c r="AC240" s="52"/>
      <c r="AD240" s="34">
        <f t="shared" si="94"/>
        <v>3528.16</v>
      </c>
      <c r="AE240" s="52">
        <f t="shared" si="95"/>
        <v>4471.84</v>
      </c>
      <c r="AF240" s="132">
        <f t="shared" si="82"/>
        <v>44.102</v>
      </c>
    </row>
    <row r="241" spans="2:32" s="42" customFormat="1" ht="15.75" customHeight="1">
      <c r="B241" s="129"/>
      <c r="C241" s="30"/>
      <c r="D241" s="30">
        <v>4430</v>
      </c>
      <c r="E241" s="32" t="s">
        <v>497</v>
      </c>
      <c r="F241" s="52">
        <v>800</v>
      </c>
      <c r="G241" s="51">
        <v>800</v>
      </c>
      <c r="H241" s="52">
        <v>800</v>
      </c>
      <c r="I241" s="52">
        <v>800</v>
      </c>
      <c r="J241" s="289" t="s">
        <v>402</v>
      </c>
      <c r="K241" s="53"/>
      <c r="L241" s="53"/>
      <c r="M241" s="53"/>
      <c r="N241" s="53"/>
      <c r="O241" s="53"/>
      <c r="P241" s="53"/>
      <c r="Q241" s="131">
        <f t="shared" si="85"/>
        <v>800</v>
      </c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34">
        <f t="shared" si="94"/>
        <v>0</v>
      </c>
      <c r="AE241" s="52">
        <f t="shared" si="95"/>
        <v>800</v>
      </c>
      <c r="AF241" s="132">
        <f t="shared" si="82"/>
        <v>0</v>
      </c>
    </row>
    <row r="242" spans="2:32" s="42" customFormat="1" ht="38.25">
      <c r="B242" s="129"/>
      <c r="C242" s="30"/>
      <c r="D242" s="30">
        <v>4440</v>
      </c>
      <c r="E242" s="32" t="s">
        <v>498</v>
      </c>
      <c r="F242" s="52">
        <v>6844</v>
      </c>
      <c r="G242" s="51">
        <v>6900</v>
      </c>
      <c r="H242" s="52">
        <v>6900</v>
      </c>
      <c r="I242" s="52">
        <v>7400</v>
      </c>
      <c r="J242" s="289"/>
      <c r="K242" s="53"/>
      <c r="L242" s="53"/>
      <c r="M242" s="53"/>
      <c r="N242" s="53"/>
      <c r="O242" s="53"/>
      <c r="P242" s="53"/>
      <c r="Q242" s="131">
        <f t="shared" si="85"/>
        <v>7400</v>
      </c>
      <c r="R242" s="52"/>
      <c r="S242" s="52"/>
      <c r="T242" s="52"/>
      <c r="U242" s="52"/>
      <c r="V242" s="52"/>
      <c r="W242" s="52">
        <v>5550</v>
      </c>
      <c r="X242" s="52"/>
      <c r="Y242" s="52"/>
      <c r="Z242" s="52"/>
      <c r="AA242" s="52"/>
      <c r="AB242" s="52"/>
      <c r="AC242" s="52"/>
      <c r="AD242" s="34">
        <f t="shared" si="94"/>
        <v>5550</v>
      </c>
      <c r="AE242" s="52">
        <f t="shared" si="95"/>
        <v>1850</v>
      </c>
      <c r="AF242" s="132">
        <f t="shared" si="82"/>
        <v>75</v>
      </c>
    </row>
    <row r="243" spans="2:32" s="42" customFormat="1" ht="25.5" customHeight="1" hidden="1">
      <c r="B243" s="129"/>
      <c r="C243" s="30"/>
      <c r="D243" s="30">
        <v>6060</v>
      </c>
      <c r="E243" s="32" t="s">
        <v>483</v>
      </c>
      <c r="F243" s="52"/>
      <c r="G243" s="51"/>
      <c r="H243" s="52"/>
      <c r="I243" s="52"/>
      <c r="J243" s="289"/>
      <c r="K243" s="53"/>
      <c r="L243" s="53"/>
      <c r="M243" s="53"/>
      <c r="N243" s="53"/>
      <c r="O243" s="53"/>
      <c r="P243" s="53"/>
      <c r="Q243" s="131">
        <f t="shared" si="85"/>
        <v>0</v>
      </c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34">
        <f t="shared" si="94"/>
        <v>0</v>
      </c>
      <c r="AE243" s="52">
        <f t="shared" si="95"/>
        <v>0</v>
      </c>
      <c r="AF243" s="132" t="e">
        <f t="shared" si="82"/>
        <v>#DIV/0!</v>
      </c>
    </row>
    <row r="244" spans="2:32" s="42" customFormat="1" ht="38.25">
      <c r="B244" s="129"/>
      <c r="C244" s="43">
        <v>85228</v>
      </c>
      <c r="D244" s="43"/>
      <c r="E244" s="45" t="s">
        <v>123</v>
      </c>
      <c r="F244" s="48">
        <f>F245</f>
        <v>21720</v>
      </c>
      <c r="G244" s="46">
        <f>G245</f>
        <v>21700</v>
      </c>
      <c r="H244" s="48">
        <f>H245</f>
        <v>15000</v>
      </c>
      <c r="I244" s="48">
        <f>I245</f>
        <v>15000</v>
      </c>
      <c r="J244" s="289" t="s">
        <v>403</v>
      </c>
      <c r="K244" s="49">
        <f aca="true" t="shared" si="96" ref="K244:P244">K245</f>
        <v>0</v>
      </c>
      <c r="L244" s="49">
        <f t="shared" si="96"/>
        <v>0</v>
      </c>
      <c r="M244" s="49">
        <f t="shared" si="96"/>
        <v>0</v>
      </c>
      <c r="N244" s="49">
        <f t="shared" si="96"/>
        <v>0</v>
      </c>
      <c r="O244" s="49">
        <f t="shared" si="96"/>
        <v>0</v>
      </c>
      <c r="P244" s="49">
        <f t="shared" si="96"/>
        <v>0</v>
      </c>
      <c r="Q244" s="40">
        <f>SUM(Q245:Q245)</f>
        <v>15000</v>
      </c>
      <c r="R244" s="48">
        <f>R245</f>
        <v>0</v>
      </c>
      <c r="S244" s="48">
        <f aca="true" t="shared" si="97" ref="S244:AC244">S245</f>
        <v>0</v>
      </c>
      <c r="T244" s="48">
        <f t="shared" si="97"/>
        <v>0</v>
      </c>
      <c r="U244" s="48">
        <f t="shared" si="97"/>
        <v>0</v>
      </c>
      <c r="V244" s="48">
        <f t="shared" si="97"/>
        <v>0</v>
      </c>
      <c r="W244" s="48">
        <f t="shared" si="97"/>
        <v>0</v>
      </c>
      <c r="X244" s="48">
        <f t="shared" si="97"/>
        <v>0</v>
      </c>
      <c r="Y244" s="48">
        <f t="shared" si="97"/>
        <v>0</v>
      </c>
      <c r="Z244" s="48">
        <f t="shared" si="97"/>
        <v>0</v>
      </c>
      <c r="AA244" s="48">
        <f t="shared" si="97"/>
        <v>0</v>
      </c>
      <c r="AB244" s="48">
        <f t="shared" si="97"/>
        <v>0</v>
      </c>
      <c r="AC244" s="48">
        <f t="shared" si="97"/>
        <v>0</v>
      </c>
      <c r="AD244" s="48">
        <f>SUM(AD245:AD245)</f>
        <v>0</v>
      </c>
      <c r="AE244" s="48">
        <f>SUM(AE245:AE245)</f>
        <v>15000</v>
      </c>
      <c r="AF244" s="130">
        <f t="shared" si="82"/>
        <v>0</v>
      </c>
    </row>
    <row r="245" spans="2:32" s="42" customFormat="1" ht="15.75" customHeight="1">
      <c r="B245" s="129"/>
      <c r="C245" s="30"/>
      <c r="D245" s="30">
        <v>4170</v>
      </c>
      <c r="E245" s="32" t="s">
        <v>543</v>
      </c>
      <c r="F245" s="52">
        <v>21720</v>
      </c>
      <c r="G245" s="51">
        <v>21700</v>
      </c>
      <c r="H245" s="52">
        <v>15000</v>
      </c>
      <c r="I245" s="52">
        <v>15000</v>
      </c>
      <c r="J245" s="289"/>
      <c r="K245" s="53"/>
      <c r="L245" s="53"/>
      <c r="M245" s="53"/>
      <c r="N245" s="53"/>
      <c r="O245" s="53"/>
      <c r="P245" s="53"/>
      <c r="Q245" s="131">
        <f>I245+K245+L245+M245+N245+O245+P245</f>
        <v>15000</v>
      </c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34">
        <f>SUM(R245:AC245)</f>
        <v>0</v>
      </c>
      <c r="AE245" s="52">
        <f>Q245-AD245</f>
        <v>15000</v>
      </c>
      <c r="AF245" s="132">
        <f t="shared" si="82"/>
        <v>0</v>
      </c>
    </row>
    <row r="246" spans="2:32" s="42" customFormat="1" ht="12.75">
      <c r="B246" s="129"/>
      <c r="C246" s="43">
        <v>85295</v>
      </c>
      <c r="D246" s="43"/>
      <c r="E246" s="45" t="s">
        <v>317</v>
      </c>
      <c r="F246" s="48">
        <f aca="true" t="shared" si="98" ref="F246:AE246">SUM(F247:F247)</f>
        <v>68374</v>
      </c>
      <c r="G246" s="46">
        <f t="shared" si="98"/>
        <v>50024</v>
      </c>
      <c r="H246" s="48">
        <f t="shared" si="98"/>
        <v>50024</v>
      </c>
      <c r="I246" s="48">
        <f t="shared" si="98"/>
        <v>50024</v>
      </c>
      <c r="J246" s="289"/>
      <c r="K246" s="49">
        <f t="shared" si="98"/>
        <v>0</v>
      </c>
      <c r="L246" s="49">
        <f t="shared" si="98"/>
        <v>0</v>
      </c>
      <c r="M246" s="49">
        <f t="shared" si="98"/>
        <v>10725</v>
      </c>
      <c r="N246" s="49">
        <f t="shared" si="98"/>
        <v>0</v>
      </c>
      <c r="O246" s="49">
        <f t="shared" si="98"/>
        <v>0</v>
      </c>
      <c r="P246" s="49">
        <f t="shared" si="98"/>
        <v>0</v>
      </c>
      <c r="Q246" s="40">
        <f>SUM(Q247:Q247)</f>
        <v>60749</v>
      </c>
      <c r="R246" s="48">
        <f t="shared" si="98"/>
        <v>3896.65</v>
      </c>
      <c r="S246" s="48">
        <f t="shared" si="98"/>
        <v>1550.13</v>
      </c>
      <c r="T246" s="48">
        <f t="shared" si="98"/>
        <v>10752.03</v>
      </c>
      <c r="U246" s="48">
        <f t="shared" si="98"/>
        <v>4677.84</v>
      </c>
      <c r="V246" s="48">
        <f t="shared" si="98"/>
        <v>6221.32</v>
      </c>
      <c r="W246" s="48">
        <f t="shared" si="98"/>
        <v>4274.99</v>
      </c>
      <c r="X246" s="48">
        <f t="shared" si="98"/>
        <v>0</v>
      </c>
      <c r="Y246" s="48">
        <f t="shared" si="98"/>
        <v>0</v>
      </c>
      <c r="Z246" s="48">
        <f t="shared" si="98"/>
        <v>0</v>
      </c>
      <c r="AA246" s="48">
        <f t="shared" si="98"/>
        <v>0</v>
      </c>
      <c r="AB246" s="48">
        <f t="shared" si="98"/>
        <v>0</v>
      </c>
      <c r="AC246" s="48">
        <f t="shared" si="98"/>
        <v>0</v>
      </c>
      <c r="AD246" s="48">
        <f t="shared" si="98"/>
        <v>31372.96</v>
      </c>
      <c r="AE246" s="48">
        <f t="shared" si="98"/>
        <v>29376.04</v>
      </c>
      <c r="AF246" s="159">
        <f t="shared" si="82"/>
        <v>51.64358261041334</v>
      </c>
    </row>
    <row r="247" spans="2:32" s="42" customFormat="1" ht="19.5" customHeight="1">
      <c r="B247" s="129"/>
      <c r="C247" s="43"/>
      <c r="D247" s="30">
        <v>3110</v>
      </c>
      <c r="E247" s="32" t="s">
        <v>545</v>
      </c>
      <c r="F247" s="34">
        <v>68374</v>
      </c>
      <c r="G247" s="160">
        <f>36000+14024</f>
        <v>50024</v>
      </c>
      <c r="H247" s="34">
        <f>36000+14024</f>
        <v>50024</v>
      </c>
      <c r="I247" s="34">
        <f>36000+14024</f>
        <v>50024</v>
      </c>
      <c r="J247" s="289" t="s">
        <v>404</v>
      </c>
      <c r="K247" s="161"/>
      <c r="L247" s="161"/>
      <c r="M247" s="161">
        <v>10725</v>
      </c>
      <c r="N247" s="161"/>
      <c r="O247" s="161"/>
      <c r="P247" s="161"/>
      <c r="Q247" s="131">
        <f>I247+K247+L247+M247+N247+O247+P247</f>
        <v>60749</v>
      </c>
      <c r="R247" s="34">
        <v>3896.65</v>
      </c>
      <c r="S247" s="34">
        <v>1550.13</v>
      </c>
      <c r="T247" s="34">
        <v>10752.03</v>
      </c>
      <c r="U247" s="34">
        <v>4677.84</v>
      </c>
      <c r="V247" s="34">
        <v>6221.32</v>
      </c>
      <c r="W247" s="34">
        <v>4274.99</v>
      </c>
      <c r="X247" s="34"/>
      <c r="Y247" s="34"/>
      <c r="Z247" s="34"/>
      <c r="AA247" s="34"/>
      <c r="AB247" s="34"/>
      <c r="AC247" s="34"/>
      <c r="AD247" s="34">
        <f>SUM(R247:AC247)</f>
        <v>31372.96</v>
      </c>
      <c r="AE247" s="52">
        <f>Q247-AD247</f>
        <v>29376.04</v>
      </c>
      <c r="AF247" s="132">
        <f t="shared" si="82"/>
        <v>51.64358261041334</v>
      </c>
    </row>
    <row r="248" spans="2:32" s="42" customFormat="1" ht="12.75" customHeight="1">
      <c r="B248" s="140">
        <v>854</v>
      </c>
      <c r="C248" s="141"/>
      <c r="D248" s="141"/>
      <c r="E248" s="142" t="s">
        <v>455</v>
      </c>
      <c r="F248" s="139">
        <f aca="true" t="shared" si="99" ref="F248:I249">F249</f>
        <v>0</v>
      </c>
      <c r="G248" s="137">
        <f t="shared" si="99"/>
        <v>0</v>
      </c>
      <c r="H248" s="139">
        <f t="shared" si="99"/>
        <v>0</v>
      </c>
      <c r="I248" s="139">
        <f t="shared" si="99"/>
        <v>2000</v>
      </c>
      <c r="J248" s="292"/>
      <c r="K248" s="138">
        <f>K249</f>
        <v>0</v>
      </c>
      <c r="L248" s="138">
        <f>L249+L251</f>
        <v>3290</v>
      </c>
      <c r="M248" s="138">
        <f aca="true" t="shared" si="100" ref="L248:P249">M249</f>
        <v>8597</v>
      </c>
      <c r="N248" s="138">
        <f t="shared" si="100"/>
        <v>0</v>
      </c>
      <c r="O248" s="138">
        <f t="shared" si="100"/>
        <v>0</v>
      </c>
      <c r="P248" s="138">
        <f t="shared" si="100"/>
        <v>0</v>
      </c>
      <c r="Q248" s="162">
        <f>Q249</f>
        <v>13887</v>
      </c>
      <c r="R248" s="139">
        <f>R249</f>
        <v>0</v>
      </c>
      <c r="S248" s="139">
        <f aca="true" t="shared" si="101" ref="S248:AC249">S249</f>
        <v>0</v>
      </c>
      <c r="T248" s="139">
        <f t="shared" si="101"/>
        <v>0</v>
      </c>
      <c r="U248" s="139">
        <f t="shared" si="101"/>
        <v>551.85</v>
      </c>
      <c r="V248" s="162">
        <f>V249</f>
        <v>280</v>
      </c>
      <c r="W248" s="139">
        <f t="shared" si="101"/>
        <v>0</v>
      </c>
      <c r="X248" s="139">
        <f t="shared" si="101"/>
        <v>0</v>
      </c>
      <c r="Y248" s="139">
        <f t="shared" si="101"/>
        <v>0</v>
      </c>
      <c r="Z248" s="139">
        <f t="shared" si="101"/>
        <v>0</v>
      </c>
      <c r="AA248" s="139">
        <f t="shared" si="101"/>
        <v>0</v>
      </c>
      <c r="AB248" s="139">
        <f t="shared" si="101"/>
        <v>0</v>
      </c>
      <c r="AC248" s="139">
        <f t="shared" si="101"/>
        <v>0</v>
      </c>
      <c r="AD248" s="162">
        <f>AD249</f>
        <v>831.85</v>
      </c>
      <c r="AE248" s="162">
        <f>AE249</f>
        <v>13055.15</v>
      </c>
      <c r="AF248" s="163">
        <f t="shared" si="82"/>
        <v>5.99013465831353</v>
      </c>
    </row>
    <row r="249" spans="2:32" s="42" customFormat="1" ht="12.75" customHeight="1">
      <c r="B249" s="129"/>
      <c r="C249" s="43">
        <v>85415</v>
      </c>
      <c r="D249" s="78"/>
      <c r="E249" s="90" t="s">
        <v>456</v>
      </c>
      <c r="F249" s="48">
        <f t="shared" si="99"/>
        <v>0</v>
      </c>
      <c r="G249" s="46">
        <f t="shared" si="99"/>
        <v>0</v>
      </c>
      <c r="H249" s="48">
        <f t="shared" si="99"/>
        <v>0</v>
      </c>
      <c r="I249" s="48">
        <f t="shared" si="99"/>
        <v>2000</v>
      </c>
      <c r="J249" s="289"/>
      <c r="K249" s="49">
        <f>K250+K251</f>
        <v>0</v>
      </c>
      <c r="L249" s="49">
        <f t="shared" si="100"/>
        <v>0</v>
      </c>
      <c r="M249" s="49">
        <f>M250+M251</f>
        <v>8597</v>
      </c>
      <c r="N249" s="49">
        <f t="shared" si="100"/>
        <v>0</v>
      </c>
      <c r="O249" s="49">
        <f t="shared" si="100"/>
        <v>0</v>
      </c>
      <c r="P249" s="49">
        <f t="shared" si="100"/>
        <v>0</v>
      </c>
      <c r="Q249" s="156">
        <f>Q250+Q251</f>
        <v>13887</v>
      </c>
      <c r="R249" s="48">
        <f>R250</f>
        <v>0</v>
      </c>
      <c r="S249" s="48">
        <f t="shared" si="101"/>
        <v>0</v>
      </c>
      <c r="T249" s="48">
        <f t="shared" si="101"/>
        <v>0</v>
      </c>
      <c r="U249" s="72">
        <f>U250+U251</f>
        <v>551.85</v>
      </c>
      <c r="V249" s="72">
        <f>V250+V251</f>
        <v>280</v>
      </c>
      <c r="W249" s="48">
        <f t="shared" si="101"/>
        <v>0</v>
      </c>
      <c r="X249" s="48">
        <f t="shared" si="101"/>
        <v>0</v>
      </c>
      <c r="Y249" s="48">
        <f t="shared" si="101"/>
        <v>0</v>
      </c>
      <c r="Z249" s="48">
        <f t="shared" si="101"/>
        <v>0</v>
      </c>
      <c r="AA249" s="48">
        <f t="shared" si="101"/>
        <v>0</v>
      </c>
      <c r="AB249" s="48">
        <f t="shared" si="101"/>
        <v>0</v>
      </c>
      <c r="AC249" s="48">
        <f t="shared" si="101"/>
        <v>0</v>
      </c>
      <c r="AD249" s="72">
        <f>AD250+AD251</f>
        <v>831.85</v>
      </c>
      <c r="AE249" s="72">
        <f>AE250+AE251</f>
        <v>13055.15</v>
      </c>
      <c r="AF249" s="132">
        <f t="shared" si="82"/>
        <v>5.99013465831353</v>
      </c>
    </row>
    <row r="250" spans="2:32" s="42" customFormat="1" ht="24" customHeight="1">
      <c r="B250" s="129"/>
      <c r="C250" s="43"/>
      <c r="D250" s="30">
        <v>3110</v>
      </c>
      <c r="E250" s="32" t="s">
        <v>545</v>
      </c>
      <c r="F250" s="34"/>
      <c r="G250" s="160"/>
      <c r="H250" s="34"/>
      <c r="I250" s="34">
        <v>2000</v>
      </c>
      <c r="J250" s="289" t="s">
        <v>259</v>
      </c>
      <c r="K250" s="160">
        <v>-2000</v>
      </c>
      <c r="L250" s="161"/>
      <c r="M250" s="161"/>
      <c r="N250" s="161"/>
      <c r="O250" s="161"/>
      <c r="P250" s="161"/>
      <c r="Q250" s="131">
        <f>I250+K250+L250+M250+N250+O250+P250</f>
        <v>0</v>
      </c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>
        <f>SUM(R250:AC250)</f>
        <v>0</v>
      </c>
      <c r="AE250" s="52">
        <f>Q250-AD250</f>
        <v>0</v>
      </c>
      <c r="AF250" s="132"/>
    </row>
    <row r="251" spans="2:32" s="42" customFormat="1" ht="27.75" customHeight="1">
      <c r="B251" s="129"/>
      <c r="C251" s="43"/>
      <c r="D251" s="30">
        <v>3260</v>
      </c>
      <c r="E251" s="32" t="s">
        <v>535</v>
      </c>
      <c r="F251" s="34"/>
      <c r="G251" s="160"/>
      <c r="H251" s="34"/>
      <c r="I251" s="34"/>
      <c r="J251" s="289"/>
      <c r="K251" s="161">
        <v>2000</v>
      </c>
      <c r="L251" s="161">
        <v>3290</v>
      </c>
      <c r="M251" s="161">
        <v>8597</v>
      </c>
      <c r="N251" s="161"/>
      <c r="O251" s="161"/>
      <c r="P251" s="161"/>
      <c r="Q251" s="131">
        <f>I251+K251+L251+M251+N251+O251+P251</f>
        <v>13887</v>
      </c>
      <c r="R251" s="34"/>
      <c r="S251" s="34"/>
      <c r="T251" s="34"/>
      <c r="U251" s="34">
        <v>551.85</v>
      </c>
      <c r="V251" s="34">
        <v>280</v>
      </c>
      <c r="W251" s="34"/>
      <c r="X251" s="34"/>
      <c r="Y251" s="34"/>
      <c r="Z251" s="34"/>
      <c r="AA251" s="34"/>
      <c r="AB251" s="34"/>
      <c r="AC251" s="34"/>
      <c r="AD251" s="34">
        <f>SUM(R251:AC251)</f>
        <v>831.85</v>
      </c>
      <c r="AE251" s="52">
        <f>Q251-AD251</f>
        <v>13055.15</v>
      </c>
      <c r="AF251" s="132">
        <f t="shared" si="82"/>
        <v>5.99013465831353</v>
      </c>
    </row>
    <row r="252" spans="2:32" s="42" customFormat="1" ht="25.5">
      <c r="B252" s="140">
        <v>900</v>
      </c>
      <c r="C252" s="141"/>
      <c r="D252" s="141"/>
      <c r="E252" s="142" t="s">
        <v>457</v>
      </c>
      <c r="F252" s="139">
        <f>F255+F261+F253</f>
        <v>478480</v>
      </c>
      <c r="G252" s="137">
        <f>G255+G261+G253</f>
        <v>524296</v>
      </c>
      <c r="H252" s="139">
        <f>H255+H261+H253</f>
        <v>367296</v>
      </c>
      <c r="I252" s="139">
        <f>I255+I261+I253</f>
        <v>367296</v>
      </c>
      <c r="J252" s="292"/>
      <c r="K252" s="138">
        <f aca="true" t="shared" si="102" ref="K252:Z252">K255+K261+K253</f>
        <v>170000</v>
      </c>
      <c r="L252" s="138">
        <f t="shared" si="102"/>
        <v>0</v>
      </c>
      <c r="M252" s="138">
        <f t="shared" si="102"/>
        <v>0</v>
      </c>
      <c r="N252" s="137">
        <f t="shared" si="102"/>
        <v>-27700</v>
      </c>
      <c r="O252" s="138">
        <f t="shared" si="102"/>
        <v>0</v>
      </c>
      <c r="P252" s="138">
        <f t="shared" si="102"/>
        <v>0</v>
      </c>
      <c r="Q252" s="139">
        <f t="shared" si="102"/>
        <v>509596</v>
      </c>
      <c r="R252" s="139">
        <f t="shared" si="102"/>
        <v>3608.4300000000003</v>
      </c>
      <c r="S252" s="139">
        <f t="shared" si="102"/>
        <v>38003.19</v>
      </c>
      <c r="T252" s="139">
        <f t="shared" si="102"/>
        <v>1214.3</v>
      </c>
      <c r="U252" s="139">
        <f t="shared" si="102"/>
        <v>50149.43</v>
      </c>
      <c r="V252" s="139">
        <f t="shared" si="102"/>
        <v>2782.1800000000003</v>
      </c>
      <c r="W252" s="139">
        <f t="shared" si="102"/>
        <v>23825.89</v>
      </c>
      <c r="X252" s="139">
        <f t="shared" si="102"/>
        <v>0</v>
      </c>
      <c r="Y252" s="139">
        <f t="shared" si="102"/>
        <v>0</v>
      </c>
      <c r="Z252" s="139">
        <f t="shared" si="102"/>
        <v>0</v>
      </c>
      <c r="AA252" s="139">
        <f>AA255+AA261+AA253</f>
        <v>0</v>
      </c>
      <c r="AB252" s="139">
        <f>AB255+AB261+AB253</f>
        <v>0</v>
      </c>
      <c r="AC252" s="139">
        <f>AC255+AC261+AC253</f>
        <v>0</v>
      </c>
      <c r="AD252" s="139">
        <f>AD255+AD261+AD253</f>
        <v>119583.42</v>
      </c>
      <c r="AE252" s="139">
        <f>AE255+AE261+AE253</f>
        <v>390012.58</v>
      </c>
      <c r="AF252" s="128">
        <f t="shared" si="82"/>
        <v>23.46631841694205</v>
      </c>
    </row>
    <row r="253" spans="2:32" s="66" customFormat="1" ht="25.5">
      <c r="B253" s="143"/>
      <c r="C253" s="23">
        <v>90001</v>
      </c>
      <c r="D253" s="23"/>
      <c r="E253" s="24" t="s">
        <v>458</v>
      </c>
      <c r="F253" s="61">
        <f>F254</f>
        <v>0</v>
      </c>
      <c r="G253" s="60">
        <f>G254</f>
        <v>140000</v>
      </c>
      <c r="H253" s="61">
        <f>H254</f>
        <v>20000</v>
      </c>
      <c r="I253" s="61">
        <f>I254</f>
        <v>20000</v>
      </c>
      <c r="J253" s="291"/>
      <c r="K253" s="62">
        <f aca="true" t="shared" si="103" ref="K253:AC253">K254</f>
        <v>0</v>
      </c>
      <c r="L253" s="62">
        <f t="shared" si="103"/>
        <v>0</v>
      </c>
      <c r="M253" s="62">
        <f t="shared" si="103"/>
        <v>0</v>
      </c>
      <c r="N253" s="62">
        <f t="shared" si="103"/>
        <v>2300</v>
      </c>
      <c r="O253" s="62">
        <f t="shared" si="103"/>
        <v>0</v>
      </c>
      <c r="P253" s="62">
        <f t="shared" si="103"/>
        <v>0</v>
      </c>
      <c r="Q253" s="40">
        <f t="shared" si="103"/>
        <v>22300</v>
      </c>
      <c r="R253" s="61">
        <f t="shared" si="103"/>
        <v>0</v>
      </c>
      <c r="S253" s="61">
        <f t="shared" si="103"/>
        <v>0</v>
      </c>
      <c r="T253" s="61">
        <f t="shared" si="103"/>
        <v>0</v>
      </c>
      <c r="U253" s="61">
        <f t="shared" si="103"/>
        <v>0</v>
      </c>
      <c r="V253" s="61">
        <f t="shared" si="103"/>
        <v>0</v>
      </c>
      <c r="W253" s="61">
        <f t="shared" si="103"/>
        <v>0</v>
      </c>
      <c r="X253" s="61">
        <f t="shared" si="103"/>
        <v>0</v>
      </c>
      <c r="Y253" s="61">
        <f t="shared" si="103"/>
        <v>0</v>
      </c>
      <c r="Z253" s="61">
        <f t="shared" si="103"/>
        <v>0</v>
      </c>
      <c r="AA253" s="61">
        <f t="shared" si="103"/>
        <v>0</v>
      </c>
      <c r="AB253" s="61">
        <f t="shared" si="103"/>
        <v>0</v>
      </c>
      <c r="AC253" s="61">
        <f t="shared" si="103"/>
        <v>0</v>
      </c>
      <c r="AD253" s="61">
        <f>AD254</f>
        <v>0</v>
      </c>
      <c r="AE253" s="61">
        <f>AE254</f>
        <v>22300</v>
      </c>
      <c r="AF253" s="130">
        <f t="shared" si="82"/>
        <v>0</v>
      </c>
    </row>
    <row r="254" spans="2:32" s="66" customFormat="1" ht="28.5" customHeight="1">
      <c r="B254" s="143"/>
      <c r="C254" s="63"/>
      <c r="D254" s="30">
        <v>6050</v>
      </c>
      <c r="E254" s="32" t="s">
        <v>472</v>
      </c>
      <c r="F254" s="69">
        <v>0</v>
      </c>
      <c r="G254" s="68">
        <v>140000</v>
      </c>
      <c r="H254" s="69">
        <v>20000</v>
      </c>
      <c r="I254" s="69">
        <v>20000</v>
      </c>
      <c r="J254" s="291" t="s">
        <v>117</v>
      </c>
      <c r="K254" s="70"/>
      <c r="L254" s="70"/>
      <c r="M254" s="70"/>
      <c r="N254" s="70">
        <v>2300</v>
      </c>
      <c r="O254" s="70"/>
      <c r="P254" s="70"/>
      <c r="Q254" s="131">
        <f aca="true" t="shared" si="104" ref="Q254:Q266">I254+K254+L254+M254+N254+O254+P254</f>
        <v>22300</v>
      </c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34">
        <f>SUM(R254:AC254)</f>
        <v>0</v>
      </c>
      <c r="AE254" s="52">
        <f>Q254-AD254</f>
        <v>22300</v>
      </c>
      <c r="AF254" s="132">
        <f t="shared" si="82"/>
        <v>0</v>
      </c>
    </row>
    <row r="255" spans="2:32" s="42" customFormat="1" ht="25.5">
      <c r="B255" s="129"/>
      <c r="C255" s="43">
        <v>90015</v>
      </c>
      <c r="D255" s="43"/>
      <c r="E255" s="45" t="s">
        <v>124</v>
      </c>
      <c r="F255" s="48">
        <f>SUM(F256:F260)</f>
        <v>182843</v>
      </c>
      <c r="G255" s="46">
        <f>SUM(G256:G260)</f>
        <v>263296</v>
      </c>
      <c r="H255" s="48">
        <f>SUM(H256:H260)</f>
        <v>263296</v>
      </c>
      <c r="I255" s="48">
        <f>SUM(I256:I260)</f>
        <v>263296</v>
      </c>
      <c r="J255" s="289"/>
      <c r="K255" s="49">
        <f aca="true" t="shared" si="105" ref="K255:Z255">SUM(K256:K260)</f>
        <v>170000</v>
      </c>
      <c r="L255" s="49">
        <f t="shared" si="105"/>
        <v>0</v>
      </c>
      <c r="M255" s="49">
        <f t="shared" si="105"/>
        <v>0</v>
      </c>
      <c r="N255" s="49">
        <f t="shared" si="105"/>
        <v>0</v>
      </c>
      <c r="O255" s="49">
        <f t="shared" si="105"/>
        <v>0</v>
      </c>
      <c r="P255" s="49">
        <f t="shared" si="105"/>
        <v>0</v>
      </c>
      <c r="Q255" s="40">
        <f t="shared" si="105"/>
        <v>433296</v>
      </c>
      <c r="R255" s="48">
        <f t="shared" si="105"/>
        <v>0</v>
      </c>
      <c r="S255" s="48">
        <f t="shared" si="105"/>
        <v>36142.66</v>
      </c>
      <c r="T255" s="48">
        <f t="shared" si="105"/>
        <v>0</v>
      </c>
      <c r="U255" s="48">
        <f t="shared" si="105"/>
        <v>47077.22</v>
      </c>
      <c r="V255" s="48">
        <f t="shared" si="105"/>
        <v>0</v>
      </c>
      <c r="W255" s="48">
        <f t="shared" si="105"/>
        <v>22415.71</v>
      </c>
      <c r="X255" s="48">
        <f t="shared" si="105"/>
        <v>0</v>
      </c>
      <c r="Y255" s="48">
        <f t="shared" si="105"/>
        <v>0</v>
      </c>
      <c r="Z255" s="48">
        <f t="shared" si="105"/>
        <v>0</v>
      </c>
      <c r="AA255" s="48">
        <f>SUM(AA256:AA260)</f>
        <v>0</v>
      </c>
      <c r="AB255" s="48">
        <f>SUM(AB256:AB260)</f>
        <v>0</v>
      </c>
      <c r="AC255" s="48">
        <f>SUM(AC256:AC260)</f>
        <v>0</v>
      </c>
      <c r="AD255" s="48">
        <f>SUM(AD256:AD260)</f>
        <v>105635.59</v>
      </c>
      <c r="AE255" s="48">
        <f>SUM(AE256:AE260)</f>
        <v>327660.41000000003</v>
      </c>
      <c r="AF255" s="130">
        <f t="shared" si="82"/>
        <v>24.3795442376574</v>
      </c>
    </row>
    <row r="256" spans="2:32" s="42" customFormat="1" ht="28.5" customHeight="1">
      <c r="B256" s="129"/>
      <c r="C256" s="30"/>
      <c r="D256" s="30">
        <v>4210</v>
      </c>
      <c r="E256" s="32" t="s">
        <v>469</v>
      </c>
      <c r="F256" s="52">
        <v>2500</v>
      </c>
      <c r="G256" s="51">
        <v>1000</v>
      </c>
      <c r="H256" s="52">
        <v>1000</v>
      </c>
      <c r="I256" s="52">
        <v>1000</v>
      </c>
      <c r="J256" s="289" t="s">
        <v>405</v>
      </c>
      <c r="K256" s="53"/>
      <c r="L256" s="53"/>
      <c r="M256" s="53"/>
      <c r="N256" s="53"/>
      <c r="O256" s="53"/>
      <c r="P256" s="53"/>
      <c r="Q256" s="131">
        <f t="shared" si="104"/>
        <v>1000</v>
      </c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34">
        <f>SUM(R256:AC256)</f>
        <v>0</v>
      </c>
      <c r="AE256" s="52">
        <f>Q256-AD256</f>
        <v>1000</v>
      </c>
      <c r="AF256" s="132">
        <f t="shared" si="82"/>
        <v>0</v>
      </c>
    </row>
    <row r="257" spans="2:32" s="42" customFormat="1" ht="14.25" customHeight="1">
      <c r="B257" s="129"/>
      <c r="C257" s="30"/>
      <c r="D257" s="30">
        <v>4260</v>
      </c>
      <c r="E257" s="32" t="s">
        <v>496</v>
      </c>
      <c r="F257" s="52">
        <v>135000</v>
      </c>
      <c r="G257" s="51">
        <v>197308</v>
      </c>
      <c r="H257" s="52">
        <v>197308</v>
      </c>
      <c r="I257" s="52">
        <v>197308</v>
      </c>
      <c r="J257" s="289" t="s">
        <v>406</v>
      </c>
      <c r="K257" s="53"/>
      <c r="L257" s="53"/>
      <c r="M257" s="53"/>
      <c r="N257" s="53"/>
      <c r="O257" s="53"/>
      <c r="P257" s="53"/>
      <c r="Q257" s="131">
        <f t="shared" si="104"/>
        <v>197308</v>
      </c>
      <c r="R257" s="52"/>
      <c r="S257" s="52">
        <v>36142.66</v>
      </c>
      <c r="T257" s="52"/>
      <c r="U257" s="52">
        <v>29353.06</v>
      </c>
      <c r="V257" s="52"/>
      <c r="W257" s="52">
        <v>22415.71</v>
      </c>
      <c r="X257" s="52"/>
      <c r="Y257" s="52"/>
      <c r="Z257" s="52"/>
      <c r="AA257" s="52"/>
      <c r="AB257" s="52"/>
      <c r="AC257" s="52"/>
      <c r="AD257" s="34">
        <f>SUM(R257:AC257)</f>
        <v>87911.43</v>
      </c>
      <c r="AE257" s="52">
        <f>Q257-AD257</f>
        <v>109396.57</v>
      </c>
      <c r="AF257" s="132">
        <f t="shared" si="82"/>
        <v>44.555431102641556</v>
      </c>
    </row>
    <row r="258" spans="2:32" s="42" customFormat="1" ht="18" customHeight="1">
      <c r="B258" s="129"/>
      <c r="C258" s="30"/>
      <c r="D258" s="30">
        <v>4270</v>
      </c>
      <c r="E258" s="32" t="s">
        <v>499</v>
      </c>
      <c r="F258" s="52">
        <v>30000</v>
      </c>
      <c r="G258" s="51">
        <v>40350</v>
      </c>
      <c r="H258" s="52">
        <v>40350</v>
      </c>
      <c r="I258" s="52">
        <v>40350</v>
      </c>
      <c r="J258" s="289" t="s">
        <v>407</v>
      </c>
      <c r="K258" s="53"/>
      <c r="L258" s="53"/>
      <c r="M258" s="53"/>
      <c r="N258" s="53"/>
      <c r="O258" s="53"/>
      <c r="P258" s="53"/>
      <c r="Q258" s="131">
        <f t="shared" si="104"/>
        <v>40350</v>
      </c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34">
        <f>SUM(R258:AC258)</f>
        <v>0</v>
      </c>
      <c r="AE258" s="52">
        <f>Q258-AD258</f>
        <v>40350</v>
      </c>
      <c r="AF258" s="132">
        <f t="shared" si="82"/>
        <v>0</v>
      </c>
    </row>
    <row r="259" spans="2:32" s="42" customFormat="1" ht="51" customHeight="1" hidden="1">
      <c r="B259" s="129"/>
      <c r="C259" s="30"/>
      <c r="D259" s="30">
        <v>4300</v>
      </c>
      <c r="E259" s="32" t="s">
        <v>471</v>
      </c>
      <c r="F259" s="52"/>
      <c r="G259" s="51"/>
      <c r="H259" s="52"/>
      <c r="I259" s="52"/>
      <c r="J259" s="289" t="s">
        <v>408</v>
      </c>
      <c r="K259" s="53"/>
      <c r="L259" s="53"/>
      <c r="M259" s="53"/>
      <c r="N259" s="53"/>
      <c r="O259" s="53"/>
      <c r="P259" s="53"/>
      <c r="Q259" s="131">
        <f t="shared" si="104"/>
        <v>0</v>
      </c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34">
        <f>SUM(R259:AC259)</f>
        <v>0</v>
      </c>
      <c r="AE259" s="52">
        <f>Q259-AD259</f>
        <v>0</v>
      </c>
      <c r="AF259" s="132" t="e">
        <f t="shared" si="82"/>
        <v>#DIV/0!</v>
      </c>
    </row>
    <row r="260" spans="2:32" s="42" customFormat="1" ht="28.5" customHeight="1">
      <c r="B260" s="129"/>
      <c r="C260" s="30"/>
      <c r="D260" s="30">
        <v>6050</v>
      </c>
      <c r="E260" s="32" t="s">
        <v>472</v>
      </c>
      <c r="F260" s="52">
        <v>15343</v>
      </c>
      <c r="G260" s="51">
        <f>9638+15000</f>
        <v>24638</v>
      </c>
      <c r="H260" s="52">
        <f>9638+15000</f>
        <v>24638</v>
      </c>
      <c r="I260" s="52">
        <f>9638+15000</f>
        <v>24638</v>
      </c>
      <c r="J260" s="289" t="s">
        <v>118</v>
      </c>
      <c r="K260" s="53">
        <v>170000</v>
      </c>
      <c r="L260" s="53"/>
      <c r="M260" s="53"/>
      <c r="N260" s="53"/>
      <c r="O260" s="53"/>
      <c r="P260" s="53"/>
      <c r="Q260" s="131">
        <f t="shared" si="104"/>
        <v>194638</v>
      </c>
      <c r="R260" s="52"/>
      <c r="S260" s="52"/>
      <c r="T260" s="52"/>
      <c r="U260" s="52">
        <v>17724.16</v>
      </c>
      <c r="V260" s="52"/>
      <c r="W260" s="52"/>
      <c r="X260" s="52"/>
      <c r="Y260" s="52"/>
      <c r="Z260" s="52"/>
      <c r="AA260" s="52"/>
      <c r="AB260" s="52"/>
      <c r="AC260" s="52"/>
      <c r="AD260" s="34">
        <f>SUM(R260:AC260)</f>
        <v>17724.16</v>
      </c>
      <c r="AE260" s="52">
        <f>Q260-AD260</f>
        <v>176913.84</v>
      </c>
      <c r="AF260" s="132">
        <f t="shared" si="82"/>
        <v>9.106217696441599</v>
      </c>
    </row>
    <row r="261" spans="2:32" s="42" customFormat="1" ht="15" customHeight="1">
      <c r="B261" s="129"/>
      <c r="C261" s="43">
        <v>90095</v>
      </c>
      <c r="D261" s="43"/>
      <c r="E261" s="45" t="s">
        <v>317</v>
      </c>
      <c r="F261" s="48">
        <f>SUM(F262:F266)</f>
        <v>295637</v>
      </c>
      <c r="G261" s="46">
        <f>SUM(G262:G266)</f>
        <v>121000</v>
      </c>
      <c r="H261" s="48">
        <f>SUM(H262:H266)</f>
        <v>84000</v>
      </c>
      <c r="I261" s="48">
        <f>SUM(I262:I266)</f>
        <v>84000</v>
      </c>
      <c r="J261" s="289"/>
      <c r="K261" s="49">
        <f aca="true" t="shared" si="106" ref="K261:Z261">SUM(K262:K266)</f>
        <v>0</v>
      </c>
      <c r="L261" s="49">
        <f t="shared" si="106"/>
        <v>0</v>
      </c>
      <c r="M261" s="49">
        <f t="shared" si="106"/>
        <v>0</v>
      </c>
      <c r="N261" s="46">
        <f t="shared" si="106"/>
        <v>-30000</v>
      </c>
      <c r="O261" s="49">
        <f t="shared" si="106"/>
        <v>0</v>
      </c>
      <c r="P261" s="49">
        <f t="shared" si="106"/>
        <v>0</v>
      </c>
      <c r="Q261" s="40">
        <f t="shared" si="106"/>
        <v>54000</v>
      </c>
      <c r="R261" s="48">
        <f t="shared" si="106"/>
        <v>3608.4300000000003</v>
      </c>
      <c r="S261" s="48">
        <f t="shared" si="106"/>
        <v>1860.53</v>
      </c>
      <c r="T261" s="48">
        <f t="shared" si="106"/>
        <v>1214.3</v>
      </c>
      <c r="U261" s="48">
        <f t="shared" si="106"/>
        <v>3072.21</v>
      </c>
      <c r="V261" s="48">
        <f t="shared" si="106"/>
        <v>2782.1800000000003</v>
      </c>
      <c r="W261" s="48">
        <f t="shared" si="106"/>
        <v>1410.18</v>
      </c>
      <c r="X261" s="48">
        <f t="shared" si="106"/>
        <v>0</v>
      </c>
      <c r="Y261" s="48">
        <f t="shared" si="106"/>
        <v>0</v>
      </c>
      <c r="Z261" s="48">
        <f t="shared" si="106"/>
        <v>0</v>
      </c>
      <c r="AA261" s="48">
        <f>SUM(AA262:AA266)</f>
        <v>0</v>
      </c>
      <c r="AB261" s="48">
        <f>SUM(AB262:AB266)</f>
        <v>0</v>
      </c>
      <c r="AC261" s="48">
        <f>SUM(AC262:AC266)</f>
        <v>0</v>
      </c>
      <c r="AD261" s="48">
        <f>SUM(AD262:AD266)</f>
        <v>13947.83</v>
      </c>
      <c r="AE261" s="48">
        <f>SUM(AE262:AE266)</f>
        <v>40052.17</v>
      </c>
      <c r="AF261" s="130">
        <f t="shared" si="82"/>
        <v>25.829314814814815</v>
      </c>
    </row>
    <row r="262" spans="2:32" s="42" customFormat="1" ht="24" customHeight="1">
      <c r="B262" s="129"/>
      <c r="C262" s="43"/>
      <c r="D262" s="153">
        <v>4170</v>
      </c>
      <c r="E262" s="154" t="s">
        <v>125</v>
      </c>
      <c r="F262" s="52">
        <v>13000</v>
      </c>
      <c r="G262" s="51">
        <v>20000</v>
      </c>
      <c r="H262" s="52">
        <v>20000</v>
      </c>
      <c r="I262" s="52">
        <v>20000</v>
      </c>
      <c r="J262" s="289" t="s">
        <v>409</v>
      </c>
      <c r="K262" s="53"/>
      <c r="L262" s="53"/>
      <c r="M262" s="53"/>
      <c r="N262" s="53"/>
      <c r="O262" s="53"/>
      <c r="P262" s="53"/>
      <c r="Q262" s="131">
        <f t="shared" si="104"/>
        <v>20000</v>
      </c>
      <c r="R262" s="52">
        <v>1195.11</v>
      </c>
      <c r="S262" s="52">
        <v>1196.8</v>
      </c>
      <c r="T262" s="52">
        <v>1196.8</v>
      </c>
      <c r="U262" s="52">
        <v>1448.88</v>
      </c>
      <c r="V262" s="52">
        <v>1420.8</v>
      </c>
      <c r="W262" s="52">
        <v>1101.5</v>
      </c>
      <c r="X262" s="52"/>
      <c r="Y262" s="52"/>
      <c r="Z262" s="52"/>
      <c r="AA262" s="52"/>
      <c r="AB262" s="52"/>
      <c r="AC262" s="52"/>
      <c r="AD262" s="34">
        <f>SUM(R262:AC262)</f>
        <v>7559.89</v>
      </c>
      <c r="AE262" s="52">
        <f>Q262-AD262</f>
        <v>12440.11</v>
      </c>
      <c r="AF262" s="132">
        <f t="shared" si="82"/>
        <v>37.79945</v>
      </c>
    </row>
    <row r="263" spans="2:32" s="42" customFormat="1" ht="30.75" customHeight="1">
      <c r="B263" s="129"/>
      <c r="C263" s="43"/>
      <c r="D263" s="30">
        <v>4210</v>
      </c>
      <c r="E263" s="32" t="s">
        <v>469</v>
      </c>
      <c r="F263" s="52">
        <v>25000</v>
      </c>
      <c r="G263" s="51">
        <v>12000</v>
      </c>
      <c r="H263" s="52">
        <v>12000</v>
      </c>
      <c r="I263" s="52">
        <v>12000</v>
      </c>
      <c r="J263" s="289" t="s">
        <v>260</v>
      </c>
      <c r="K263" s="53"/>
      <c r="L263" s="53"/>
      <c r="M263" s="53"/>
      <c r="N263" s="53"/>
      <c r="O263" s="53"/>
      <c r="P263" s="53"/>
      <c r="Q263" s="131">
        <f t="shared" si="104"/>
        <v>12000</v>
      </c>
      <c r="R263" s="52">
        <v>2038.44</v>
      </c>
      <c r="S263" s="52"/>
      <c r="T263" s="52">
        <v>17.5</v>
      </c>
      <c r="U263" s="52">
        <v>1211</v>
      </c>
      <c r="V263" s="52">
        <v>1111.64</v>
      </c>
      <c r="W263" s="52"/>
      <c r="X263" s="52"/>
      <c r="Y263" s="52"/>
      <c r="Z263" s="52"/>
      <c r="AA263" s="52"/>
      <c r="AB263" s="52"/>
      <c r="AC263" s="52"/>
      <c r="AD263" s="34">
        <f>SUM(R263:AC263)</f>
        <v>4378.58</v>
      </c>
      <c r="AE263" s="52">
        <f>Q263-AD263</f>
        <v>7621.42</v>
      </c>
      <c r="AF263" s="132">
        <f t="shared" si="82"/>
        <v>36.488166666666665</v>
      </c>
    </row>
    <row r="264" spans="2:32" s="42" customFormat="1" ht="18" customHeight="1">
      <c r="B264" s="129"/>
      <c r="C264" s="30"/>
      <c r="D264" s="30">
        <v>4260</v>
      </c>
      <c r="E264" s="32" t="s">
        <v>496</v>
      </c>
      <c r="F264" s="52">
        <v>5337</v>
      </c>
      <c r="G264" s="51">
        <v>5000</v>
      </c>
      <c r="H264" s="52">
        <v>5000</v>
      </c>
      <c r="I264" s="52">
        <v>5000</v>
      </c>
      <c r="J264" s="289" t="s">
        <v>410</v>
      </c>
      <c r="K264" s="53"/>
      <c r="L264" s="53"/>
      <c r="M264" s="53"/>
      <c r="N264" s="53"/>
      <c r="O264" s="53"/>
      <c r="P264" s="53"/>
      <c r="Q264" s="131">
        <f t="shared" si="104"/>
        <v>5000</v>
      </c>
      <c r="R264" s="52">
        <v>374.88</v>
      </c>
      <c r="S264" s="52">
        <v>513.73</v>
      </c>
      <c r="T264" s="52"/>
      <c r="U264" s="52">
        <v>412.33</v>
      </c>
      <c r="V264" s="52">
        <v>249.74</v>
      </c>
      <c r="W264" s="52">
        <v>176.71</v>
      </c>
      <c r="X264" s="52"/>
      <c r="Y264" s="52"/>
      <c r="Z264" s="52"/>
      <c r="AA264" s="52"/>
      <c r="AB264" s="52"/>
      <c r="AC264" s="52"/>
      <c r="AD264" s="34">
        <f>SUM(R264:AC264)</f>
        <v>1727.39</v>
      </c>
      <c r="AE264" s="52">
        <f>Q264-AD264</f>
        <v>3272.6099999999997</v>
      </c>
      <c r="AF264" s="132">
        <f t="shared" si="82"/>
        <v>34.5478</v>
      </c>
    </row>
    <row r="265" spans="2:32" s="42" customFormat="1" ht="21" customHeight="1">
      <c r="B265" s="129"/>
      <c r="C265" s="30"/>
      <c r="D265" s="30">
        <v>4300</v>
      </c>
      <c r="E265" s="32" t="s">
        <v>471</v>
      </c>
      <c r="F265" s="52">
        <v>14000</v>
      </c>
      <c r="G265" s="51">
        <f>2000+12000</f>
        <v>14000</v>
      </c>
      <c r="H265" s="52">
        <v>12000</v>
      </c>
      <c r="I265" s="52">
        <v>12000</v>
      </c>
      <c r="J265" s="289" t="s">
        <v>261</v>
      </c>
      <c r="K265" s="53"/>
      <c r="L265" s="53"/>
      <c r="M265" s="53"/>
      <c r="N265" s="53"/>
      <c r="O265" s="53"/>
      <c r="P265" s="53"/>
      <c r="Q265" s="131">
        <f t="shared" si="104"/>
        <v>12000</v>
      </c>
      <c r="R265" s="52"/>
      <c r="S265" s="52">
        <v>150</v>
      </c>
      <c r="T265" s="52"/>
      <c r="U265" s="52"/>
      <c r="V265" s="52"/>
      <c r="W265" s="52">
        <v>131.97</v>
      </c>
      <c r="X265" s="52"/>
      <c r="Y265" s="52"/>
      <c r="Z265" s="52"/>
      <c r="AA265" s="52"/>
      <c r="AB265" s="52"/>
      <c r="AC265" s="52"/>
      <c r="AD265" s="34">
        <f>SUM(R265:AC265)</f>
        <v>281.97</v>
      </c>
      <c r="AE265" s="52">
        <f>Q265-AD265</f>
        <v>11718.03</v>
      </c>
      <c r="AF265" s="132">
        <v>0</v>
      </c>
    </row>
    <row r="266" spans="2:32" s="42" customFormat="1" ht="27.75" customHeight="1">
      <c r="B266" s="129"/>
      <c r="C266" s="30"/>
      <c r="D266" s="30">
        <v>6050</v>
      </c>
      <c r="E266" s="32" t="s">
        <v>472</v>
      </c>
      <c r="F266" s="52">
        <v>238300</v>
      </c>
      <c r="G266" s="51">
        <v>70000</v>
      </c>
      <c r="H266" s="52">
        <v>35000</v>
      </c>
      <c r="I266" s="52">
        <v>35000</v>
      </c>
      <c r="J266" s="289" t="s">
        <v>119</v>
      </c>
      <c r="K266" s="53"/>
      <c r="L266" s="53"/>
      <c r="M266" s="53"/>
      <c r="N266" s="51">
        <v>-30000</v>
      </c>
      <c r="O266" s="53"/>
      <c r="P266" s="53"/>
      <c r="Q266" s="131">
        <f t="shared" si="104"/>
        <v>5000</v>
      </c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34">
        <f>SUM(R266:AC266)</f>
        <v>0</v>
      </c>
      <c r="AE266" s="52">
        <f>Q266-AD266</f>
        <v>5000</v>
      </c>
      <c r="AF266" s="132">
        <f aca="true" t="shared" si="107" ref="AF266:AF282">AD266*100/Q266</f>
        <v>0</v>
      </c>
    </row>
    <row r="267" spans="2:32" s="42" customFormat="1" ht="25.5">
      <c r="B267" s="140">
        <v>921</v>
      </c>
      <c r="C267" s="141"/>
      <c r="D267" s="141"/>
      <c r="E267" s="142" t="s">
        <v>126</v>
      </c>
      <c r="F267" s="139">
        <f>F268+F270</f>
        <v>443990</v>
      </c>
      <c r="G267" s="137">
        <f>G268+G270</f>
        <v>575200</v>
      </c>
      <c r="H267" s="139">
        <f>H268+H270</f>
        <v>493500</v>
      </c>
      <c r="I267" s="139">
        <f>I268+I270</f>
        <v>443500</v>
      </c>
      <c r="J267" s="292"/>
      <c r="K267" s="138">
        <f aca="true" t="shared" si="108" ref="K267:Z267">K268+K270</f>
        <v>0</v>
      </c>
      <c r="L267" s="138">
        <f t="shared" si="108"/>
        <v>0</v>
      </c>
      <c r="M267" s="138">
        <f t="shared" si="108"/>
        <v>0</v>
      </c>
      <c r="N267" s="138">
        <f t="shared" si="108"/>
        <v>0</v>
      </c>
      <c r="O267" s="138">
        <f t="shared" si="108"/>
        <v>0</v>
      </c>
      <c r="P267" s="138">
        <f t="shared" si="108"/>
        <v>0</v>
      </c>
      <c r="Q267" s="139">
        <f t="shared" si="108"/>
        <v>443500</v>
      </c>
      <c r="R267" s="139">
        <f t="shared" si="108"/>
        <v>40200</v>
      </c>
      <c r="S267" s="139">
        <f t="shared" si="108"/>
        <v>47400</v>
      </c>
      <c r="T267" s="139">
        <f t="shared" si="108"/>
        <v>40600</v>
      </c>
      <c r="U267" s="139">
        <f t="shared" si="108"/>
        <v>41700</v>
      </c>
      <c r="V267" s="139">
        <f>V268+V270</f>
        <v>39000</v>
      </c>
      <c r="W267" s="139">
        <f t="shared" si="108"/>
        <v>32300</v>
      </c>
      <c r="X267" s="139">
        <f t="shared" si="108"/>
        <v>0</v>
      </c>
      <c r="Y267" s="139">
        <f t="shared" si="108"/>
        <v>0</v>
      </c>
      <c r="Z267" s="139">
        <f t="shared" si="108"/>
        <v>0</v>
      </c>
      <c r="AA267" s="139">
        <f>AA268+AA270</f>
        <v>0</v>
      </c>
      <c r="AB267" s="139">
        <f>AB268+AB270</f>
        <v>0</v>
      </c>
      <c r="AC267" s="139">
        <f>AC268+AC270</f>
        <v>0</v>
      </c>
      <c r="AD267" s="139">
        <f>AD268+AD270</f>
        <v>241200</v>
      </c>
      <c r="AE267" s="139">
        <f>AE268+AE270</f>
        <v>202300</v>
      </c>
      <c r="AF267" s="128">
        <f t="shared" si="107"/>
        <v>54.385569334836525</v>
      </c>
    </row>
    <row r="268" spans="2:32" s="42" customFormat="1" ht="25.5">
      <c r="B268" s="129"/>
      <c r="C268" s="43">
        <v>92109</v>
      </c>
      <c r="D268" s="43"/>
      <c r="E268" s="45" t="s">
        <v>127</v>
      </c>
      <c r="F268" s="48">
        <f aca="true" t="shared" si="109" ref="F268:AE268">SUM(F269:F269)</f>
        <v>172000</v>
      </c>
      <c r="G268" s="46">
        <f t="shared" si="109"/>
        <v>211000</v>
      </c>
      <c r="H268" s="48">
        <f t="shared" si="109"/>
        <v>199500</v>
      </c>
      <c r="I268" s="48">
        <f t="shared" si="109"/>
        <v>174500</v>
      </c>
      <c r="J268" s="289"/>
      <c r="K268" s="49">
        <f t="shared" si="109"/>
        <v>0</v>
      </c>
      <c r="L268" s="49">
        <f t="shared" si="109"/>
        <v>0</v>
      </c>
      <c r="M268" s="49">
        <f t="shared" si="109"/>
        <v>0</v>
      </c>
      <c r="N268" s="49">
        <f t="shared" si="109"/>
        <v>0</v>
      </c>
      <c r="O268" s="49">
        <f t="shared" si="109"/>
        <v>0</v>
      </c>
      <c r="P268" s="49">
        <f t="shared" si="109"/>
        <v>0</v>
      </c>
      <c r="Q268" s="40">
        <f>SUM(Q269:Q269)</f>
        <v>174500</v>
      </c>
      <c r="R268" s="48">
        <f t="shared" si="109"/>
        <v>16200</v>
      </c>
      <c r="S268" s="48">
        <f t="shared" si="109"/>
        <v>21400</v>
      </c>
      <c r="T268" s="48">
        <f t="shared" si="109"/>
        <v>14600</v>
      </c>
      <c r="U268" s="48">
        <f t="shared" si="109"/>
        <v>21700</v>
      </c>
      <c r="V268" s="48">
        <f t="shared" si="109"/>
        <v>12000</v>
      </c>
      <c r="W268" s="48">
        <f t="shared" si="109"/>
        <v>13800</v>
      </c>
      <c r="X268" s="48">
        <f t="shared" si="109"/>
        <v>0</v>
      </c>
      <c r="Y268" s="48">
        <f t="shared" si="109"/>
        <v>0</v>
      </c>
      <c r="Z268" s="48">
        <f t="shared" si="109"/>
        <v>0</v>
      </c>
      <c r="AA268" s="48">
        <f t="shared" si="109"/>
        <v>0</v>
      </c>
      <c r="AB268" s="48">
        <f t="shared" si="109"/>
        <v>0</v>
      </c>
      <c r="AC268" s="48">
        <f t="shared" si="109"/>
        <v>0</v>
      </c>
      <c r="AD268" s="48">
        <f t="shared" si="109"/>
        <v>99700</v>
      </c>
      <c r="AE268" s="48">
        <f t="shared" si="109"/>
        <v>74800</v>
      </c>
      <c r="AF268" s="130">
        <f t="shared" si="107"/>
        <v>57.134670487106014</v>
      </c>
    </row>
    <row r="269" spans="2:32" s="42" customFormat="1" ht="38.25">
      <c r="B269" s="129"/>
      <c r="C269" s="30"/>
      <c r="D269" s="30">
        <v>2480</v>
      </c>
      <c r="E269" s="32" t="s">
        <v>128</v>
      </c>
      <c r="F269" s="52">
        <v>172000</v>
      </c>
      <c r="G269" s="51">
        <v>211000</v>
      </c>
      <c r="H269" s="52">
        <v>199500</v>
      </c>
      <c r="I269" s="52">
        <f>199500-25000</f>
        <v>174500</v>
      </c>
      <c r="J269" s="289" t="s">
        <v>411</v>
      </c>
      <c r="K269" s="53"/>
      <c r="L269" s="53"/>
      <c r="M269" s="53"/>
      <c r="N269" s="53"/>
      <c r="O269" s="53"/>
      <c r="P269" s="53"/>
      <c r="Q269" s="131">
        <f>I269+K269+L269+M269+N269+O269+P269</f>
        <v>174500</v>
      </c>
      <c r="R269" s="52">
        <v>16200</v>
      </c>
      <c r="S269" s="52">
        <v>21400</v>
      </c>
      <c r="T269" s="52">
        <v>14600</v>
      </c>
      <c r="U269" s="52">
        <v>21700</v>
      </c>
      <c r="V269" s="52">
        <v>12000</v>
      </c>
      <c r="W269" s="52">
        <v>13800</v>
      </c>
      <c r="X269" s="52"/>
      <c r="Y269" s="52"/>
      <c r="Z269" s="52"/>
      <c r="AA269" s="52"/>
      <c r="AB269" s="52"/>
      <c r="AC269" s="52"/>
      <c r="AD269" s="34">
        <f>SUM(R269:AC269)</f>
        <v>99700</v>
      </c>
      <c r="AE269" s="52">
        <f>Q269-AD269</f>
        <v>74800</v>
      </c>
      <c r="AF269" s="132">
        <f t="shared" si="107"/>
        <v>57.134670487106014</v>
      </c>
    </row>
    <row r="270" spans="2:32" s="42" customFormat="1" ht="12.75">
      <c r="B270" s="129"/>
      <c r="C270" s="43">
        <v>92116</v>
      </c>
      <c r="D270" s="43"/>
      <c r="E270" s="45" t="s">
        <v>129</v>
      </c>
      <c r="F270" s="48">
        <f aca="true" t="shared" si="110" ref="F270:AE270">SUM(F271:F271)</f>
        <v>271990</v>
      </c>
      <c r="G270" s="46">
        <f t="shared" si="110"/>
        <v>364200</v>
      </c>
      <c r="H270" s="48">
        <f t="shared" si="110"/>
        <v>294000</v>
      </c>
      <c r="I270" s="48">
        <f t="shared" si="110"/>
        <v>269000</v>
      </c>
      <c r="J270" s="289"/>
      <c r="K270" s="49">
        <f t="shared" si="110"/>
        <v>0</v>
      </c>
      <c r="L270" s="49">
        <f t="shared" si="110"/>
        <v>0</v>
      </c>
      <c r="M270" s="49">
        <f t="shared" si="110"/>
        <v>0</v>
      </c>
      <c r="N270" s="49">
        <f t="shared" si="110"/>
        <v>0</v>
      </c>
      <c r="O270" s="49">
        <f t="shared" si="110"/>
        <v>0</v>
      </c>
      <c r="P270" s="49">
        <f t="shared" si="110"/>
        <v>0</v>
      </c>
      <c r="Q270" s="40">
        <f>SUM(Q271:Q271)</f>
        <v>269000</v>
      </c>
      <c r="R270" s="48">
        <f t="shared" si="110"/>
        <v>24000</v>
      </c>
      <c r="S270" s="48">
        <f t="shared" si="110"/>
        <v>26000</v>
      </c>
      <c r="T270" s="48">
        <f t="shared" si="110"/>
        <v>26000</v>
      </c>
      <c r="U270" s="48">
        <f t="shared" si="110"/>
        <v>20000</v>
      </c>
      <c r="V270" s="48">
        <f t="shared" si="110"/>
        <v>27000</v>
      </c>
      <c r="W270" s="48">
        <f t="shared" si="110"/>
        <v>18500</v>
      </c>
      <c r="X270" s="48">
        <f t="shared" si="110"/>
        <v>0</v>
      </c>
      <c r="Y270" s="48">
        <f t="shared" si="110"/>
        <v>0</v>
      </c>
      <c r="Z270" s="48">
        <f t="shared" si="110"/>
        <v>0</v>
      </c>
      <c r="AA270" s="48">
        <f t="shared" si="110"/>
        <v>0</v>
      </c>
      <c r="AB270" s="48">
        <f t="shared" si="110"/>
        <v>0</v>
      </c>
      <c r="AC270" s="48">
        <f t="shared" si="110"/>
        <v>0</v>
      </c>
      <c r="AD270" s="48">
        <f t="shared" si="110"/>
        <v>141500</v>
      </c>
      <c r="AE270" s="48">
        <f t="shared" si="110"/>
        <v>127500</v>
      </c>
      <c r="AF270" s="130">
        <f t="shared" si="107"/>
        <v>52.60223048327138</v>
      </c>
    </row>
    <row r="271" spans="2:32" s="42" customFormat="1" ht="39" customHeight="1">
      <c r="B271" s="129"/>
      <c r="C271" s="30"/>
      <c r="D271" s="30">
        <v>2480</v>
      </c>
      <c r="E271" s="32" t="s">
        <v>128</v>
      </c>
      <c r="F271" s="52">
        <v>271990</v>
      </c>
      <c r="G271" s="51">
        <v>364200</v>
      </c>
      <c r="H271" s="52">
        <v>294000</v>
      </c>
      <c r="I271" s="52">
        <f>294000-25000</f>
        <v>269000</v>
      </c>
      <c r="J271" s="289" t="s">
        <v>412</v>
      </c>
      <c r="K271" s="53"/>
      <c r="L271" s="53"/>
      <c r="M271" s="53"/>
      <c r="N271" s="53"/>
      <c r="O271" s="53"/>
      <c r="P271" s="53"/>
      <c r="Q271" s="131">
        <f>I271+K271+L271+M271+N271+O271+P271</f>
        <v>269000</v>
      </c>
      <c r="R271" s="52">
        <v>24000</v>
      </c>
      <c r="S271" s="52">
        <v>26000</v>
      </c>
      <c r="T271" s="52">
        <v>26000</v>
      </c>
      <c r="U271" s="52">
        <v>20000</v>
      </c>
      <c r="V271" s="52">
        <v>27000</v>
      </c>
      <c r="W271" s="52">
        <v>18500</v>
      </c>
      <c r="X271" s="52"/>
      <c r="Y271" s="52"/>
      <c r="Z271" s="52"/>
      <c r="AA271" s="52"/>
      <c r="AB271" s="52"/>
      <c r="AC271" s="52"/>
      <c r="AD271" s="34">
        <f>SUM(R271:AC271)</f>
        <v>141500</v>
      </c>
      <c r="AE271" s="52">
        <f>Q271-AD271</f>
        <v>127500</v>
      </c>
      <c r="AF271" s="132">
        <f t="shared" si="107"/>
        <v>52.60223048327138</v>
      </c>
    </row>
    <row r="272" spans="2:32" s="42" customFormat="1" ht="12.75">
      <c r="B272" s="140">
        <v>926</v>
      </c>
      <c r="C272" s="141"/>
      <c r="D272" s="141"/>
      <c r="E272" s="142" t="s">
        <v>1078</v>
      </c>
      <c r="F272" s="139">
        <f>F273+F275</f>
        <v>93276</v>
      </c>
      <c r="G272" s="137">
        <f>G273+G275</f>
        <v>133344</v>
      </c>
      <c r="H272" s="139">
        <f>H273+H275</f>
        <v>95228</v>
      </c>
      <c r="I272" s="139">
        <f>I273+I275</f>
        <v>95228</v>
      </c>
      <c r="J272" s="292"/>
      <c r="K272" s="138">
        <f aca="true" t="shared" si="111" ref="K272:Z272">K273+K275</f>
        <v>0</v>
      </c>
      <c r="L272" s="138">
        <f t="shared" si="111"/>
        <v>0</v>
      </c>
      <c r="M272" s="138">
        <f t="shared" si="111"/>
        <v>0</v>
      </c>
      <c r="N272" s="138">
        <f t="shared" si="111"/>
        <v>0</v>
      </c>
      <c r="O272" s="138">
        <f t="shared" si="111"/>
        <v>0</v>
      </c>
      <c r="P272" s="138">
        <f t="shared" si="111"/>
        <v>0</v>
      </c>
      <c r="Q272" s="139">
        <f t="shared" si="111"/>
        <v>95228</v>
      </c>
      <c r="R272" s="139">
        <f t="shared" si="111"/>
        <v>0</v>
      </c>
      <c r="S272" s="139">
        <f t="shared" si="111"/>
        <v>6742.08</v>
      </c>
      <c r="T272" s="139">
        <f t="shared" si="111"/>
        <v>1344.57</v>
      </c>
      <c r="U272" s="139">
        <f t="shared" si="111"/>
        <v>1741.3600000000001</v>
      </c>
      <c r="V272" s="139">
        <f t="shared" si="111"/>
        <v>21170.11</v>
      </c>
      <c r="W272" s="139">
        <f t="shared" si="111"/>
        <v>12637.59</v>
      </c>
      <c r="X272" s="139">
        <f t="shared" si="111"/>
        <v>0</v>
      </c>
      <c r="Y272" s="139">
        <f t="shared" si="111"/>
        <v>0</v>
      </c>
      <c r="Z272" s="139">
        <f t="shared" si="111"/>
        <v>0</v>
      </c>
      <c r="AA272" s="139">
        <f>AA273+AA275</f>
        <v>0</v>
      </c>
      <c r="AB272" s="139">
        <f>AB273+AB275</f>
        <v>0</v>
      </c>
      <c r="AC272" s="139">
        <f>AC273+AC275</f>
        <v>0</v>
      </c>
      <c r="AD272" s="139">
        <f>AD273+AD275</f>
        <v>43635.71</v>
      </c>
      <c r="AE272" s="139">
        <f>AE273+AE275</f>
        <v>51592.29</v>
      </c>
      <c r="AF272" s="128">
        <f t="shared" si="107"/>
        <v>45.82235266938295</v>
      </c>
    </row>
    <row r="273" spans="2:32" s="42" customFormat="1" ht="28.5" customHeight="1">
      <c r="B273" s="129"/>
      <c r="C273" s="43">
        <v>92605</v>
      </c>
      <c r="D273" s="43"/>
      <c r="E273" s="45" t="s">
        <v>1079</v>
      </c>
      <c r="F273" s="48">
        <f>SUM(F274:F274)</f>
        <v>30700</v>
      </c>
      <c r="G273" s="46">
        <f>SUM(G274:G274)</f>
        <v>35000</v>
      </c>
      <c r="H273" s="48">
        <f>SUM(H274:H274)</f>
        <v>30700</v>
      </c>
      <c r="I273" s="48">
        <f>SUM(I274:I274)</f>
        <v>30700</v>
      </c>
      <c r="J273" s="300"/>
      <c r="K273" s="49">
        <f aca="true" t="shared" si="112" ref="K273:AC273">SUM(K274:K274)</f>
        <v>0</v>
      </c>
      <c r="L273" s="49">
        <f t="shared" si="112"/>
        <v>0</v>
      </c>
      <c r="M273" s="49">
        <f t="shared" si="112"/>
        <v>0</v>
      </c>
      <c r="N273" s="49">
        <f t="shared" si="112"/>
        <v>0</v>
      </c>
      <c r="O273" s="49">
        <f t="shared" si="112"/>
        <v>0</v>
      </c>
      <c r="P273" s="49">
        <f t="shared" si="112"/>
        <v>0</v>
      </c>
      <c r="Q273" s="40">
        <f t="shared" si="112"/>
        <v>30700</v>
      </c>
      <c r="R273" s="48">
        <f t="shared" si="112"/>
        <v>0</v>
      </c>
      <c r="S273" s="48">
        <f t="shared" si="112"/>
        <v>0</v>
      </c>
      <c r="T273" s="48">
        <f t="shared" si="112"/>
        <v>0</v>
      </c>
      <c r="U273" s="48">
        <f t="shared" si="112"/>
        <v>0</v>
      </c>
      <c r="V273" s="48">
        <f t="shared" si="112"/>
        <v>14350</v>
      </c>
      <c r="W273" s="48">
        <f t="shared" si="112"/>
        <v>0</v>
      </c>
      <c r="X273" s="48">
        <f t="shared" si="112"/>
        <v>0</v>
      </c>
      <c r="Y273" s="48">
        <f t="shared" si="112"/>
        <v>0</v>
      </c>
      <c r="Z273" s="48">
        <f t="shared" si="112"/>
        <v>0</v>
      </c>
      <c r="AA273" s="48">
        <f t="shared" si="112"/>
        <v>0</v>
      </c>
      <c r="AB273" s="48">
        <f t="shared" si="112"/>
        <v>0</v>
      </c>
      <c r="AC273" s="48">
        <f t="shared" si="112"/>
        <v>0</v>
      </c>
      <c r="AD273" s="48">
        <f>SUM(AD274:AD274)</f>
        <v>14350</v>
      </c>
      <c r="AE273" s="48">
        <f>SUM(AE274:AE274)</f>
        <v>16350</v>
      </c>
      <c r="AF273" s="130">
        <f t="shared" si="107"/>
        <v>46.74267100977199</v>
      </c>
    </row>
    <row r="274" spans="2:32" s="42" customFormat="1" ht="67.5" customHeight="1">
      <c r="B274" s="129"/>
      <c r="C274" s="43"/>
      <c r="D274" s="30">
        <v>2820</v>
      </c>
      <c r="E274" s="32" t="s">
        <v>542</v>
      </c>
      <c r="F274" s="34">
        <v>30700</v>
      </c>
      <c r="G274" s="160">
        <v>35000</v>
      </c>
      <c r="H274" s="34">
        <v>30700</v>
      </c>
      <c r="I274" s="34">
        <v>30700</v>
      </c>
      <c r="J274" s="289" t="s">
        <v>413</v>
      </c>
      <c r="K274" s="161"/>
      <c r="L274" s="161"/>
      <c r="M274" s="161"/>
      <c r="N274" s="161"/>
      <c r="O274" s="161"/>
      <c r="P274" s="161"/>
      <c r="Q274" s="131">
        <f aca="true" t="shared" si="113" ref="Q274:Q281">I274+K274+L274+M274+N274+O274+P274</f>
        <v>30700</v>
      </c>
      <c r="R274" s="34"/>
      <c r="S274" s="34"/>
      <c r="T274" s="34"/>
      <c r="U274" s="34"/>
      <c r="V274" s="34">
        <v>14350</v>
      </c>
      <c r="W274" s="34"/>
      <c r="X274" s="34"/>
      <c r="Y274" s="34"/>
      <c r="Z274" s="34"/>
      <c r="AA274" s="34"/>
      <c r="AB274" s="34"/>
      <c r="AC274" s="34"/>
      <c r="AD274" s="34">
        <f>SUM(R274:AC274)</f>
        <v>14350</v>
      </c>
      <c r="AE274" s="52">
        <f>Q274-AD274</f>
        <v>16350</v>
      </c>
      <c r="AF274" s="132">
        <f t="shared" si="107"/>
        <v>46.74267100977199</v>
      </c>
    </row>
    <row r="275" spans="2:32" s="42" customFormat="1" ht="19.5" customHeight="1">
      <c r="B275" s="129"/>
      <c r="C275" s="43">
        <v>92695</v>
      </c>
      <c r="D275" s="43"/>
      <c r="E275" s="45" t="s">
        <v>317</v>
      </c>
      <c r="F275" s="48">
        <f>SUM(F276:F281)</f>
        <v>62576</v>
      </c>
      <c r="G275" s="46">
        <f>SUM(G276:G281)</f>
        <v>98344</v>
      </c>
      <c r="H275" s="48">
        <f>SUM(H276:H281)</f>
        <v>64528</v>
      </c>
      <c r="I275" s="48">
        <f>SUM(I276:I281)</f>
        <v>64528</v>
      </c>
      <c r="J275" s="300" t="s">
        <v>414</v>
      </c>
      <c r="K275" s="49">
        <f aca="true" t="shared" si="114" ref="K275:Z275">SUM(K276:K281)</f>
        <v>0</v>
      </c>
      <c r="L275" s="49">
        <f t="shared" si="114"/>
        <v>0</v>
      </c>
      <c r="M275" s="49">
        <f t="shared" si="114"/>
        <v>0</v>
      </c>
      <c r="N275" s="49">
        <f t="shared" si="114"/>
        <v>0</v>
      </c>
      <c r="O275" s="49">
        <f t="shared" si="114"/>
        <v>0</v>
      </c>
      <c r="P275" s="49">
        <f t="shared" si="114"/>
        <v>0</v>
      </c>
      <c r="Q275" s="40">
        <f t="shared" si="114"/>
        <v>64528</v>
      </c>
      <c r="R275" s="48">
        <f t="shared" si="114"/>
        <v>0</v>
      </c>
      <c r="S275" s="48">
        <f t="shared" si="114"/>
        <v>6742.08</v>
      </c>
      <c r="T275" s="48">
        <f t="shared" si="114"/>
        <v>1344.57</v>
      </c>
      <c r="U275" s="48">
        <f t="shared" si="114"/>
        <v>1741.3600000000001</v>
      </c>
      <c r="V275" s="48">
        <f t="shared" si="114"/>
        <v>6820.11</v>
      </c>
      <c r="W275" s="48">
        <f t="shared" si="114"/>
        <v>12637.59</v>
      </c>
      <c r="X275" s="48">
        <f t="shared" si="114"/>
        <v>0</v>
      </c>
      <c r="Y275" s="48">
        <f t="shared" si="114"/>
        <v>0</v>
      </c>
      <c r="Z275" s="48">
        <f t="shared" si="114"/>
        <v>0</v>
      </c>
      <c r="AA275" s="48">
        <f>SUM(AA276:AA281)</f>
        <v>0</v>
      </c>
      <c r="AB275" s="48">
        <f>SUM(AB276:AB281)</f>
        <v>0</v>
      </c>
      <c r="AC275" s="48">
        <f>SUM(AC276:AC281)</f>
        <v>0</v>
      </c>
      <c r="AD275" s="48">
        <f>SUM(AD276:AD281)</f>
        <v>29285.71</v>
      </c>
      <c r="AE275" s="48">
        <f>SUM(AE276:AE281)</f>
        <v>35242.29</v>
      </c>
      <c r="AF275" s="130">
        <f t="shared" si="107"/>
        <v>45.38449975204562</v>
      </c>
    </row>
    <row r="276" spans="2:32" s="42" customFormat="1" ht="16.5" customHeight="1">
      <c r="B276" s="129"/>
      <c r="C276" s="30"/>
      <c r="D276" s="30">
        <v>4170</v>
      </c>
      <c r="E276" s="32" t="s">
        <v>543</v>
      </c>
      <c r="F276" s="52">
        <v>12458</v>
      </c>
      <c r="G276" s="51">
        <f>1000+2496+416+832+2500+2500</f>
        <v>9744</v>
      </c>
      <c r="H276" s="52">
        <v>8716</v>
      </c>
      <c r="I276" s="52">
        <v>8716</v>
      </c>
      <c r="J276" s="289" t="s">
        <v>262</v>
      </c>
      <c r="K276" s="53"/>
      <c r="L276" s="53"/>
      <c r="M276" s="53"/>
      <c r="N276" s="53"/>
      <c r="O276" s="53"/>
      <c r="P276" s="53"/>
      <c r="Q276" s="131">
        <f t="shared" si="113"/>
        <v>8716</v>
      </c>
      <c r="R276" s="52"/>
      <c r="S276" s="52">
        <v>351.06</v>
      </c>
      <c r="T276" s="52">
        <v>586.15</v>
      </c>
      <c r="U276" s="52">
        <v>586.15</v>
      </c>
      <c r="V276" s="52">
        <v>770.24</v>
      </c>
      <c r="W276" s="52">
        <v>970.68</v>
      </c>
      <c r="X276" s="52"/>
      <c r="Y276" s="52"/>
      <c r="Z276" s="52"/>
      <c r="AA276" s="52"/>
      <c r="AB276" s="52"/>
      <c r="AC276" s="52"/>
      <c r="AD276" s="34">
        <f aca="true" t="shared" si="115" ref="AD276:AD281">SUM(R276:AC276)</f>
        <v>3264.28</v>
      </c>
      <c r="AE276" s="52">
        <f aca="true" t="shared" si="116" ref="AE276:AE281">Q276-AD276</f>
        <v>5451.719999999999</v>
      </c>
      <c r="AF276" s="132">
        <f t="shared" si="107"/>
        <v>37.45158329508949</v>
      </c>
    </row>
    <row r="277" spans="2:32" s="42" customFormat="1" ht="29.25" customHeight="1">
      <c r="B277" s="129"/>
      <c r="C277" s="30"/>
      <c r="D277" s="30">
        <v>4210</v>
      </c>
      <c r="E277" s="32" t="s">
        <v>469</v>
      </c>
      <c r="F277" s="52">
        <v>19300</v>
      </c>
      <c r="G277" s="51">
        <v>28600</v>
      </c>
      <c r="H277" s="52">
        <v>13900</v>
      </c>
      <c r="I277" s="52">
        <v>13900</v>
      </c>
      <c r="J277" s="289" t="s">
        <v>263</v>
      </c>
      <c r="K277" s="53"/>
      <c r="L277" s="53"/>
      <c r="M277" s="53"/>
      <c r="N277" s="53"/>
      <c r="O277" s="53"/>
      <c r="P277" s="53"/>
      <c r="Q277" s="131">
        <f t="shared" si="113"/>
        <v>13900</v>
      </c>
      <c r="R277" s="52"/>
      <c r="S277" s="52"/>
      <c r="T277" s="52">
        <v>378.42</v>
      </c>
      <c r="U277" s="52">
        <v>84.7</v>
      </c>
      <c r="V277" s="52">
        <v>5998.51</v>
      </c>
      <c r="W277" s="52">
        <v>5036.92</v>
      </c>
      <c r="X277" s="52"/>
      <c r="Y277" s="52"/>
      <c r="Z277" s="52"/>
      <c r="AA277" s="52"/>
      <c r="AB277" s="52"/>
      <c r="AC277" s="52"/>
      <c r="AD277" s="34">
        <f t="shared" si="115"/>
        <v>11498.55</v>
      </c>
      <c r="AE277" s="52">
        <f t="shared" si="116"/>
        <v>2401.4500000000007</v>
      </c>
      <c r="AF277" s="132">
        <f t="shared" si="107"/>
        <v>82.72338129496403</v>
      </c>
    </row>
    <row r="278" spans="2:32" s="42" customFormat="1" ht="18.75" customHeight="1">
      <c r="B278" s="129"/>
      <c r="C278" s="30"/>
      <c r="D278" s="30">
        <v>4260</v>
      </c>
      <c r="E278" s="32" t="s">
        <v>496</v>
      </c>
      <c r="F278" s="52">
        <v>7000</v>
      </c>
      <c r="G278" s="51">
        <v>7000</v>
      </c>
      <c r="H278" s="52">
        <v>7000</v>
      </c>
      <c r="I278" s="52">
        <v>7000</v>
      </c>
      <c r="J278" s="289" t="s">
        <v>415</v>
      </c>
      <c r="K278" s="53"/>
      <c r="L278" s="53"/>
      <c r="M278" s="53"/>
      <c r="N278" s="53">
        <v>1500</v>
      </c>
      <c r="O278" s="53"/>
      <c r="P278" s="53"/>
      <c r="Q278" s="131">
        <f t="shared" si="113"/>
        <v>8500</v>
      </c>
      <c r="R278" s="52"/>
      <c r="S278" s="52">
        <v>5475.21</v>
      </c>
      <c r="T278" s="52"/>
      <c r="U278" s="52">
        <v>487.34</v>
      </c>
      <c r="V278" s="52"/>
      <c r="W278" s="52">
        <v>559.33</v>
      </c>
      <c r="X278" s="52"/>
      <c r="Y278" s="52"/>
      <c r="Z278" s="52"/>
      <c r="AA278" s="52"/>
      <c r="AB278" s="52"/>
      <c r="AC278" s="52"/>
      <c r="AD278" s="34">
        <f t="shared" si="115"/>
        <v>6521.88</v>
      </c>
      <c r="AE278" s="52">
        <f t="shared" si="116"/>
        <v>1978.12</v>
      </c>
      <c r="AF278" s="132">
        <f t="shared" si="107"/>
        <v>76.728</v>
      </c>
    </row>
    <row r="279" spans="2:32" s="42" customFormat="1" ht="19.5" customHeight="1">
      <c r="B279" s="129"/>
      <c r="C279" s="30"/>
      <c r="D279" s="30">
        <v>4300</v>
      </c>
      <c r="E279" s="32" t="s">
        <v>471</v>
      </c>
      <c r="F279" s="52">
        <v>21818</v>
      </c>
      <c r="G279" s="51">
        <v>51000</v>
      </c>
      <c r="H279" s="52">
        <v>33412</v>
      </c>
      <c r="I279" s="52">
        <v>33412</v>
      </c>
      <c r="J279" s="289" t="s">
        <v>416</v>
      </c>
      <c r="K279" s="53"/>
      <c r="L279" s="53"/>
      <c r="M279" s="53"/>
      <c r="N279" s="51">
        <v>-1500</v>
      </c>
      <c r="O279" s="53"/>
      <c r="P279" s="53"/>
      <c r="Q279" s="131">
        <f t="shared" si="113"/>
        <v>31912</v>
      </c>
      <c r="R279" s="52"/>
      <c r="S279" s="52">
        <v>915.81</v>
      </c>
      <c r="T279" s="52">
        <v>380</v>
      </c>
      <c r="U279" s="52">
        <v>583.17</v>
      </c>
      <c r="V279" s="52">
        <v>51.36</v>
      </c>
      <c r="W279" s="52">
        <v>5631.66</v>
      </c>
      <c r="X279" s="52"/>
      <c r="Y279" s="52"/>
      <c r="Z279" s="52"/>
      <c r="AA279" s="52"/>
      <c r="AB279" s="52"/>
      <c r="AC279" s="52"/>
      <c r="AD279" s="34">
        <f t="shared" si="115"/>
        <v>7562</v>
      </c>
      <c r="AE279" s="52">
        <f t="shared" si="116"/>
        <v>24350</v>
      </c>
      <c r="AF279" s="132">
        <f t="shared" si="107"/>
        <v>23.69641514163951</v>
      </c>
    </row>
    <row r="280" spans="2:32" s="42" customFormat="1" ht="12.75">
      <c r="B280" s="129"/>
      <c r="C280" s="30"/>
      <c r="D280" s="30">
        <v>4410</v>
      </c>
      <c r="E280" s="32" t="s">
        <v>491</v>
      </c>
      <c r="F280" s="52">
        <v>800</v>
      </c>
      <c r="G280" s="51">
        <v>800</v>
      </c>
      <c r="H280" s="52">
        <v>500</v>
      </c>
      <c r="I280" s="52">
        <v>500</v>
      </c>
      <c r="J280" s="289"/>
      <c r="K280" s="53"/>
      <c r="L280" s="53"/>
      <c r="M280" s="53"/>
      <c r="N280" s="53"/>
      <c r="O280" s="53"/>
      <c r="P280" s="53"/>
      <c r="Q280" s="131">
        <f t="shared" si="113"/>
        <v>500</v>
      </c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34">
        <f t="shared" si="115"/>
        <v>0</v>
      </c>
      <c r="AE280" s="52">
        <f t="shared" si="116"/>
        <v>500</v>
      </c>
      <c r="AF280" s="132">
        <f t="shared" si="107"/>
        <v>0</v>
      </c>
    </row>
    <row r="281" spans="2:32" s="42" customFormat="1" ht="18.75" customHeight="1">
      <c r="B281" s="129"/>
      <c r="C281" s="30"/>
      <c r="D281" s="30">
        <v>4430</v>
      </c>
      <c r="E281" s="32" t="s">
        <v>497</v>
      </c>
      <c r="F281" s="52">
        <v>1200</v>
      </c>
      <c r="G281" s="51">
        <v>1200</v>
      </c>
      <c r="H281" s="52">
        <v>1000</v>
      </c>
      <c r="I281" s="52">
        <v>1000</v>
      </c>
      <c r="J281" s="289" t="s">
        <v>417</v>
      </c>
      <c r="K281" s="53"/>
      <c r="L281" s="53"/>
      <c r="M281" s="53"/>
      <c r="N281" s="53"/>
      <c r="O281" s="53"/>
      <c r="P281" s="53"/>
      <c r="Q281" s="131">
        <f t="shared" si="113"/>
        <v>1000</v>
      </c>
      <c r="R281" s="52"/>
      <c r="S281" s="52"/>
      <c r="T281" s="52"/>
      <c r="U281" s="52"/>
      <c r="V281" s="52"/>
      <c r="W281" s="52">
        <v>439</v>
      </c>
      <c r="X281" s="52"/>
      <c r="Y281" s="52"/>
      <c r="Z281" s="52"/>
      <c r="AA281" s="52"/>
      <c r="AB281" s="52"/>
      <c r="AC281" s="52"/>
      <c r="AD281" s="34">
        <f t="shared" si="115"/>
        <v>439</v>
      </c>
      <c r="AE281" s="52">
        <f t="shared" si="116"/>
        <v>561</v>
      </c>
      <c r="AF281" s="132">
        <f t="shared" si="107"/>
        <v>43.9</v>
      </c>
    </row>
    <row r="282" spans="2:32" s="42" customFormat="1" ht="13.5" thickBot="1">
      <c r="B282" s="164"/>
      <c r="C282" s="165"/>
      <c r="D282" s="165"/>
      <c r="E282" s="166" t="s">
        <v>462</v>
      </c>
      <c r="F282" s="169">
        <f>F7+F25+F31+F46+F79+F82+F110+F113+F199+F213+F252+F267+F272+F40+F106+F101+F21</f>
        <v>19368821</v>
      </c>
      <c r="G282" s="167">
        <f>G7+G25+G31+G46+G79+G82+G110+G113+G199+G213+G252+G267+G272+G40+G106+G101+G21</f>
        <v>20461034</v>
      </c>
      <c r="H282" s="169">
        <f>H7+H25+H31+H46+H79+H82+H110+H113+H199+H213+H252+H267+H272+H40+H106+H101+H21+H248</f>
        <v>18833156</v>
      </c>
      <c r="I282" s="169">
        <f>I7+I25+I31+I46+I79+I82+I110+I113+I199+I213+I252+I267+I272+I40+I106+I101+I21+I248</f>
        <v>18700565</v>
      </c>
      <c r="J282" s="407"/>
      <c r="K282" s="168">
        <f aca="true" t="shared" si="117" ref="K282:AE282">K7+K25+K31+K46+K79+K82+K110+K113+K199+K213+K252+K267+K272+K40+K106+K101+K21+K248</f>
        <v>6046501</v>
      </c>
      <c r="L282" s="168">
        <f t="shared" si="117"/>
        <v>48270</v>
      </c>
      <c r="M282" s="168">
        <f t="shared" si="117"/>
        <v>273022</v>
      </c>
      <c r="N282" s="168">
        <f t="shared" si="117"/>
        <v>341206</v>
      </c>
      <c r="O282" s="168">
        <f t="shared" si="117"/>
        <v>0</v>
      </c>
      <c r="P282" s="168">
        <f t="shared" si="117"/>
        <v>0</v>
      </c>
      <c r="Q282" s="169">
        <f t="shared" si="117"/>
        <v>25409564</v>
      </c>
      <c r="R282" s="169">
        <f t="shared" si="117"/>
        <v>6394401.82</v>
      </c>
      <c r="S282" s="169">
        <f t="shared" si="117"/>
        <v>1049250.1199999999</v>
      </c>
      <c r="T282" s="169">
        <f t="shared" si="117"/>
        <v>1067741.39</v>
      </c>
      <c r="U282" s="169">
        <f t="shared" si="117"/>
        <v>1381944.82</v>
      </c>
      <c r="V282" s="169">
        <f t="shared" si="117"/>
        <v>1092669.4000000001</v>
      </c>
      <c r="W282" s="169">
        <f t="shared" si="117"/>
        <v>3088775.63</v>
      </c>
      <c r="X282" s="169">
        <f t="shared" si="117"/>
        <v>0</v>
      </c>
      <c r="Y282" s="169">
        <f t="shared" si="117"/>
        <v>0</v>
      </c>
      <c r="Z282" s="169">
        <f t="shared" si="117"/>
        <v>0</v>
      </c>
      <c r="AA282" s="169">
        <f>AA7+AA25+AA31+AA46+AA79+AA82+AA110+AA113+AA199+AA213+AA252+AA267+AA272+AA40+AA106+AA101+AA21+AA248</f>
        <v>0</v>
      </c>
      <c r="AB282" s="169">
        <f>AB7+AB25+AB31+AB46+AB79+AB82+AB110+AB113+AB199+AB213+AB252+AB267+AB272+AB40+AB106+AB101+AB21+AB248</f>
        <v>0</v>
      </c>
      <c r="AC282" s="169">
        <f>AC7+AC25+AC31+AC46+AC79+AC82+AC110+AC113+AC199+AC213+AC252+AC267+AC272+AC40+AC106+AC101+AC21+AC248</f>
        <v>0</v>
      </c>
      <c r="AD282" s="169">
        <f t="shared" si="117"/>
        <v>14074783.18</v>
      </c>
      <c r="AE282" s="169">
        <f t="shared" si="117"/>
        <v>11334780.82</v>
      </c>
      <c r="AF282" s="170">
        <f t="shared" si="107"/>
        <v>55.39167527628573</v>
      </c>
    </row>
    <row r="283" spans="7:32" s="42" customFormat="1" ht="15">
      <c r="G283" s="301"/>
      <c r="H283" s="73"/>
      <c r="I283" s="73"/>
      <c r="J283" s="302"/>
      <c r="K283" s="171"/>
      <c r="L283" s="73"/>
      <c r="M283" s="73"/>
      <c r="N283" s="73"/>
      <c r="O283" s="73"/>
      <c r="P283" s="73"/>
      <c r="Q283" s="104"/>
      <c r="R283" s="73">
        <v>-5927239.49</v>
      </c>
      <c r="S283" s="73">
        <f>-'[1]Dochody zał.Nr 1'!R127</f>
        <v>0</v>
      </c>
      <c r="T283" s="73"/>
      <c r="U283" s="73"/>
      <c r="V283" s="73"/>
      <c r="W283" s="73"/>
      <c r="X283" s="73">
        <f>-'[1]Dochody zał.Nr 1'!V127</f>
        <v>0</v>
      </c>
      <c r="Y283" s="73">
        <f>-'[1]Dochody zał.Nr 1'!W127</f>
        <v>0</v>
      </c>
      <c r="Z283" s="73">
        <f>-'[1]Dochody zał.Nr 1'!X127</f>
        <v>0</v>
      </c>
      <c r="AA283" s="73">
        <f>-'[1]Dochody zał.Nr 1'!Y127</f>
        <v>0</v>
      </c>
      <c r="AB283" s="73">
        <f>-'[1]Dochody zał.Nr 1'!Z127</f>
        <v>0</v>
      </c>
      <c r="AC283" s="73">
        <f>-'[1]Dochody zał.Nr 1'!AA127</f>
        <v>0</v>
      </c>
      <c r="AD283" s="172"/>
      <c r="AE283" s="173"/>
      <c r="AF283" s="174"/>
    </row>
    <row r="284" spans="5:32" s="42" customFormat="1" ht="15.75">
      <c r="E284" s="14" t="s">
        <v>264</v>
      </c>
      <c r="F284" s="14"/>
      <c r="G284" s="303"/>
      <c r="H284" s="176"/>
      <c r="I284" s="176"/>
      <c r="J284" s="302"/>
      <c r="K284" s="175">
        <f>K282-'[1]Dochody zał.Nr 1'!J127</f>
        <v>6046501</v>
      </c>
      <c r="L284" s="176"/>
      <c r="M284" s="176">
        <f>M282-'[1]Dochody zał.Nr 1'!L127</f>
        <v>273022</v>
      </c>
      <c r="N284" s="176">
        <f>N282-'[1]Dochody zał.Nr 1'!M127</f>
        <v>341206</v>
      </c>
      <c r="O284" s="176">
        <f>O282-'[1]Dochody zał.Nr 1'!N127</f>
        <v>0</v>
      </c>
      <c r="P284" s="176">
        <f>P282-'[1]Dochody zał.Nr 1'!O127</f>
        <v>0</v>
      </c>
      <c r="Q284" s="415"/>
      <c r="R284" s="176">
        <f>SUM(R282:R283)</f>
        <v>467162.3300000001</v>
      </c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415"/>
      <c r="AE284" s="173"/>
      <c r="AF284" s="174"/>
    </row>
    <row r="285" spans="4:32" s="42" customFormat="1" ht="15">
      <c r="D285" s="104"/>
      <c r="E285" s="73"/>
      <c r="F285" s="73"/>
      <c r="G285" s="149"/>
      <c r="J285" s="6"/>
      <c r="K285" s="177"/>
      <c r="M285" s="73"/>
      <c r="Q285" s="104"/>
      <c r="AD285" s="104"/>
      <c r="AE285" s="173"/>
      <c r="AF285" s="132"/>
    </row>
    <row r="286" spans="7:32" s="42" customFormat="1" ht="15">
      <c r="G286" s="149"/>
      <c r="J286" s="6"/>
      <c r="K286" s="177"/>
      <c r="M286" s="73"/>
      <c r="Q286" s="104"/>
      <c r="AD286" s="178"/>
      <c r="AE286" s="173"/>
      <c r="AF286" s="174"/>
    </row>
    <row r="287" spans="5:32" s="42" customFormat="1" ht="15">
      <c r="E287" s="73"/>
      <c r="F287" s="73"/>
      <c r="G287" s="301"/>
      <c r="H287" s="73"/>
      <c r="I287" s="73"/>
      <c r="J287" s="6"/>
      <c r="K287" s="171"/>
      <c r="L287" s="73"/>
      <c r="M287" s="73"/>
      <c r="N287" s="73"/>
      <c r="O287" s="73"/>
      <c r="P287" s="73"/>
      <c r="Q287" s="104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172"/>
      <c r="AE287" s="173"/>
      <c r="AF287" s="174"/>
    </row>
    <row r="288" spans="5:31" s="42" customFormat="1" ht="12.75">
      <c r="E288" s="42" t="s">
        <v>522</v>
      </c>
      <c r="G288" s="301"/>
      <c r="H288" s="73"/>
      <c r="I288" s="73">
        <f>I13+I30+I38+I39+I72+I172+I173+I254+I260+I266+I27+I28+I86</f>
        <v>7093783</v>
      </c>
      <c r="J288" s="6"/>
      <c r="K288" s="171"/>
      <c r="L288" s="73"/>
      <c r="M288" s="73"/>
      <c r="N288" s="73"/>
      <c r="O288" s="73"/>
      <c r="P288" s="73"/>
      <c r="Q288" s="73">
        <f>Q13+Q30+Q38+Q39+Q72+Q172+Q173+Q254+Q260+Q266+Q27+Q28+Q86</f>
        <v>13760552</v>
      </c>
      <c r="R288" s="73">
        <f aca="true" t="shared" si="118" ref="R288:AE288">R13+R30+R38+R39+R72+R172+R173+R254+R260+R266+R27+R28+R86</f>
        <v>5533030.46</v>
      </c>
      <c r="S288" s="73">
        <f>S13+S30+S38+S39+S72+S172+S173+S254+S260+S266+S27+S28+S86</f>
        <v>0</v>
      </c>
      <c r="T288" s="73">
        <f t="shared" si="118"/>
        <v>8098</v>
      </c>
      <c r="U288" s="73">
        <f t="shared" si="118"/>
        <v>205559.97</v>
      </c>
      <c r="V288" s="73">
        <f t="shared" si="118"/>
        <v>190072</v>
      </c>
      <c r="W288" s="73">
        <f t="shared" si="118"/>
        <v>2177342.42</v>
      </c>
      <c r="X288" s="73">
        <f t="shared" si="118"/>
        <v>0</v>
      </c>
      <c r="Y288" s="73">
        <f t="shared" si="118"/>
        <v>0</v>
      </c>
      <c r="Z288" s="73">
        <f t="shared" si="118"/>
        <v>0</v>
      </c>
      <c r="AA288" s="73">
        <f>AA13+AA30+AA38+AA39+AA72+AA172+AA173+AA254+AA260+AA266+AA27+AA28+AA86</f>
        <v>0</v>
      </c>
      <c r="AB288" s="73">
        <f>AB13+AB30+AB38+AB39+AB72+AB172+AB173+AB254+AB260+AB266+AB27+AB28+AB86</f>
        <v>0</v>
      </c>
      <c r="AC288" s="73">
        <f>AC13+AC30+AC38+AC39+AC72+AC172+AC173+AC254+AC260+AC266+AC27+AC28+AC86</f>
        <v>0</v>
      </c>
      <c r="AD288" s="73">
        <f t="shared" si="118"/>
        <v>8114102.85</v>
      </c>
      <c r="AE288" s="73">
        <f t="shared" si="118"/>
        <v>5646449.15</v>
      </c>
    </row>
    <row r="289" spans="5:31" s="42" customFormat="1" ht="12.75">
      <c r="E289" s="42">
        <v>401</v>
      </c>
      <c r="G289" s="301"/>
      <c r="H289" s="73"/>
      <c r="I289" s="73"/>
      <c r="J289" s="6"/>
      <c r="K289" s="171"/>
      <c r="L289" s="73"/>
      <c r="M289" s="73"/>
      <c r="N289" s="73"/>
      <c r="O289" s="73"/>
      <c r="P289" s="73"/>
      <c r="Q289" s="104">
        <f>Q48+Q59+Q60+Q103+Q117+Q118+Q132+Q133+Q146+Q147+Q160+Q161+Q176+Q177+Q184+Q185+Q216</f>
        <v>4716221</v>
      </c>
      <c r="R289" s="104">
        <f aca="true" t="shared" si="119" ref="R289:AE289">R48+R59+R60+R103+R117+R118+R132+R133+R146+R147+R160+R161+R176+R177+R184+R185+R216</f>
        <v>335604.43</v>
      </c>
      <c r="S289" s="104">
        <f t="shared" si="119"/>
        <v>372636.94999999995</v>
      </c>
      <c r="T289" s="104">
        <f t="shared" si="119"/>
        <v>517005.8</v>
      </c>
      <c r="U289" s="104">
        <f t="shared" si="119"/>
        <v>531662.2000000001</v>
      </c>
      <c r="V289" s="104">
        <f t="shared" si="119"/>
        <v>244353.19999999998</v>
      </c>
      <c r="W289" s="104">
        <f t="shared" si="119"/>
        <v>336875.8999999999</v>
      </c>
      <c r="X289" s="104">
        <f t="shared" si="119"/>
        <v>0</v>
      </c>
      <c r="Y289" s="104">
        <f t="shared" si="119"/>
        <v>0</v>
      </c>
      <c r="Z289" s="104">
        <f t="shared" si="119"/>
        <v>0</v>
      </c>
      <c r="AA289" s="104">
        <f>AA48+AA59+AA60+AA103+AA117+AA118+AA132+AA133+AA146+AA147+AA160+AA161+AA176+AA177+AA184+AA185+AA216</f>
        <v>0</v>
      </c>
      <c r="AB289" s="104">
        <f>AB48+AB59+AB60+AB103+AB117+AB118+AB132+AB133+AB146+AB147+AB160+AB161+AB176+AB177+AB184+AB185+AB216</f>
        <v>0</v>
      </c>
      <c r="AC289" s="104">
        <f>AC48+AC59+AC60+AC103+AC117+AC118+AC132+AC133+AC146+AC147+AC160+AC161+AC176+AC177+AC184+AC185+AC216</f>
        <v>0</v>
      </c>
      <c r="AD289" s="104">
        <f t="shared" si="119"/>
        <v>2338138.48</v>
      </c>
      <c r="AE289" s="104">
        <f t="shared" si="119"/>
        <v>2378082.52</v>
      </c>
    </row>
    <row r="290" spans="5:31" s="42" customFormat="1" ht="12.75">
      <c r="E290" s="42">
        <v>411</v>
      </c>
      <c r="G290" s="301"/>
      <c r="H290" s="73"/>
      <c r="I290" s="73"/>
      <c r="J290" s="6"/>
      <c r="K290" s="171"/>
      <c r="L290" s="73"/>
      <c r="M290" s="73"/>
      <c r="N290" s="73"/>
      <c r="O290" s="73"/>
      <c r="P290" s="73"/>
      <c r="Q290" s="104">
        <f>Q49+Q61+Q62+Q119+Q120+Q134+Q135+Q148+Q149+Q162+Q163+Q178+Q179+Q186+Q187+Q217+Q233+Q234</f>
        <v>1028142</v>
      </c>
      <c r="R290" s="104">
        <f aca="true" t="shared" si="120" ref="R290:AE290">R49+R61+R62+R119+R120+R134+R135+R148+R149+R162+R163+R178+R179+R186+R187+R217+R233+R234</f>
        <v>70657.84000000001</v>
      </c>
      <c r="S290" s="104">
        <f t="shared" si="120"/>
        <v>71169.69</v>
      </c>
      <c r="T290" s="104">
        <f t="shared" si="120"/>
        <v>86733.90999999999</v>
      </c>
      <c r="U290" s="104">
        <f t="shared" si="120"/>
        <v>127610.9</v>
      </c>
      <c r="V290" s="104">
        <f t="shared" si="120"/>
        <v>71122.75999999998</v>
      </c>
      <c r="W290" s="104">
        <f t="shared" si="120"/>
        <v>76239.23</v>
      </c>
      <c r="X290" s="104">
        <f t="shared" si="120"/>
        <v>0</v>
      </c>
      <c r="Y290" s="104">
        <f t="shared" si="120"/>
        <v>0</v>
      </c>
      <c r="Z290" s="104">
        <f t="shared" si="120"/>
        <v>0</v>
      </c>
      <c r="AA290" s="104">
        <f>AA49+AA61+AA62+AA119+AA120+AA134+AA135+AA148+AA149+AA162+AA163+AA178+AA179+AA186+AA187+AA217+AA233+AA234</f>
        <v>0</v>
      </c>
      <c r="AB290" s="104">
        <f>AB49+AB61+AB62+AB119+AB120+AB134+AB135+AB148+AB149+AB162+AB163+AB178+AB179+AB186+AB187+AB217+AB233+AB234</f>
        <v>0</v>
      </c>
      <c r="AC290" s="104">
        <f>AC49+AC61+AC62+AC119+AC120+AC134+AC135+AC148+AC149+AC162+AC163+AC178+AC179+AC186+AC187+AC217+AC233+AC234</f>
        <v>0</v>
      </c>
      <c r="AD290" s="104">
        <f t="shared" si="120"/>
        <v>503534.32999999984</v>
      </c>
      <c r="AE290" s="104">
        <f t="shared" si="120"/>
        <v>524607.6700000002</v>
      </c>
    </row>
    <row r="291" spans="5:31" s="42" customFormat="1" ht="12.75">
      <c r="E291" s="42">
        <v>417</v>
      </c>
      <c r="G291" s="301"/>
      <c r="H291" s="73"/>
      <c r="I291" s="73"/>
      <c r="J291" s="6"/>
      <c r="K291" s="171"/>
      <c r="L291" s="73"/>
      <c r="M291" s="73"/>
      <c r="N291" s="73"/>
      <c r="O291" s="73"/>
      <c r="P291" s="73"/>
      <c r="Q291" s="104">
        <f>Q74+Q88+Q194+Q202+Q235+Q245+Q262+Q276</f>
        <v>72646</v>
      </c>
      <c r="R291" s="104">
        <f aca="true" t="shared" si="121" ref="R291:AE291">R74+R88+R194+R202+R235+R245+R262+R276</f>
        <v>2630.51</v>
      </c>
      <c r="S291" s="104">
        <f t="shared" si="121"/>
        <v>3684.86</v>
      </c>
      <c r="T291" s="104">
        <f t="shared" si="121"/>
        <v>3666.2000000000003</v>
      </c>
      <c r="U291" s="104">
        <f t="shared" si="121"/>
        <v>4055.28</v>
      </c>
      <c r="V291" s="104">
        <f t="shared" si="121"/>
        <v>6001.79</v>
      </c>
      <c r="W291" s="104">
        <f t="shared" si="121"/>
        <v>4911.55</v>
      </c>
      <c r="X291" s="104">
        <f t="shared" si="121"/>
        <v>0</v>
      </c>
      <c r="Y291" s="104">
        <f t="shared" si="121"/>
        <v>0</v>
      </c>
      <c r="Z291" s="104">
        <f t="shared" si="121"/>
        <v>0</v>
      </c>
      <c r="AA291" s="104">
        <f>AA74+AA88+AA194+AA202+AA235+AA245+AA262+AA276</f>
        <v>0</v>
      </c>
      <c r="AB291" s="104">
        <f>AB74+AB88+AB194+AB202+AB235+AB245+AB262+AB276</f>
        <v>0</v>
      </c>
      <c r="AC291" s="104">
        <f>AC74+AC88+AC194+AC202+AC235+AC245+AC262+AC276</f>
        <v>0</v>
      </c>
      <c r="AD291" s="104">
        <f t="shared" si="121"/>
        <v>24950.19</v>
      </c>
      <c r="AE291" s="104">
        <f t="shared" si="121"/>
        <v>47695.810000000005</v>
      </c>
    </row>
    <row r="292" spans="5:31" s="42" customFormat="1" ht="12.75">
      <c r="E292" s="42">
        <v>427</v>
      </c>
      <c r="G292" s="301"/>
      <c r="H292" s="73"/>
      <c r="I292" s="73"/>
      <c r="J292" s="6"/>
      <c r="K292" s="171"/>
      <c r="L292" s="73"/>
      <c r="M292" s="73"/>
      <c r="N292" s="73"/>
      <c r="O292" s="73"/>
      <c r="P292" s="73"/>
      <c r="Q292" s="104">
        <f>Q10+Q65+Q77+Q91+Q124+Q139+Q153+Q189+Q205+Q238+Q258</f>
        <v>126729</v>
      </c>
      <c r="R292" s="104">
        <f aca="true" t="shared" si="122" ref="R292:AE292">R10+R65+R77+R91+R124+R139+R153+R189+R205+R238+R258</f>
        <v>1205.92</v>
      </c>
      <c r="S292" s="104">
        <f t="shared" si="122"/>
        <v>3605.59</v>
      </c>
      <c r="T292" s="104">
        <f t="shared" si="122"/>
        <v>7028.16</v>
      </c>
      <c r="U292" s="104">
        <f t="shared" si="122"/>
        <v>4238.72</v>
      </c>
      <c r="V292" s="104">
        <f t="shared" si="122"/>
        <v>2697.08</v>
      </c>
      <c r="W292" s="104">
        <f t="shared" si="122"/>
        <v>8310.27</v>
      </c>
      <c r="X292" s="104">
        <f t="shared" si="122"/>
        <v>0</v>
      </c>
      <c r="Y292" s="104">
        <f t="shared" si="122"/>
        <v>0</v>
      </c>
      <c r="Z292" s="104">
        <f t="shared" si="122"/>
        <v>0</v>
      </c>
      <c r="AA292" s="104">
        <f>AA10+AA65+AA77+AA91+AA124+AA139+AA153+AA189+AA205+AA238+AA258</f>
        <v>0</v>
      </c>
      <c r="AB292" s="104">
        <f>AB10+AB65+AB77+AB91+AB124+AB139+AB153+AB189+AB205+AB238+AB258</f>
        <v>0</v>
      </c>
      <c r="AC292" s="104">
        <f>AC10+AC65+AC77+AC91+AC124+AC139+AC153+AC189+AC205+AC238+AC258</f>
        <v>0</v>
      </c>
      <c r="AD292" s="104">
        <f t="shared" si="122"/>
        <v>27085.739999999998</v>
      </c>
      <c r="AE292" s="104">
        <f t="shared" si="122"/>
        <v>99643.26000000001</v>
      </c>
    </row>
    <row r="293" spans="7:29" s="42" customFormat="1" ht="12.75">
      <c r="G293" s="301"/>
      <c r="H293" s="73"/>
      <c r="I293" s="73"/>
      <c r="J293" s="6"/>
      <c r="K293" s="171"/>
      <c r="L293" s="73"/>
      <c r="M293" s="73"/>
      <c r="N293" s="73"/>
      <c r="O293" s="73"/>
      <c r="P293" s="73"/>
      <c r="Q293" s="66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</row>
    <row r="294" spans="7:29" s="42" customFormat="1" ht="12.75">
      <c r="G294" s="301"/>
      <c r="H294" s="73"/>
      <c r="I294" s="73"/>
      <c r="J294" s="6"/>
      <c r="K294" s="171"/>
      <c r="L294" s="73"/>
      <c r="M294" s="73"/>
      <c r="N294" s="73"/>
      <c r="O294" s="73"/>
      <c r="P294" s="73"/>
      <c r="Q294" s="66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</row>
    <row r="295" spans="7:17" s="42" customFormat="1" ht="12.75">
      <c r="G295" s="149"/>
      <c r="J295" s="6"/>
      <c r="K295" s="177"/>
      <c r="Q295" s="66"/>
    </row>
    <row r="296" spans="7:17" s="42" customFormat="1" ht="12.75">
      <c r="G296" s="149"/>
      <c r="J296" s="6"/>
      <c r="K296" s="177"/>
      <c r="Q296" s="66"/>
    </row>
    <row r="297" ht="12.75">
      <c r="Q297" s="8"/>
    </row>
    <row r="298" ht="12.75">
      <c r="Q298" s="8"/>
    </row>
    <row r="299" ht="12.75">
      <c r="Q299" s="8"/>
    </row>
    <row r="300" ht="12.75">
      <c r="Q300" s="8"/>
    </row>
    <row r="301" ht="12.75">
      <c r="Q301" s="8"/>
    </row>
    <row r="302" ht="12.75">
      <c r="Q302" s="8"/>
    </row>
    <row r="303" ht="12.75">
      <c r="Q303" s="8"/>
    </row>
    <row r="304" ht="12.75">
      <c r="Q304" s="8"/>
    </row>
    <row r="305" ht="12.75">
      <c r="Q305" s="8"/>
    </row>
    <row r="306" ht="12.75">
      <c r="Q306" s="8"/>
    </row>
    <row r="307" ht="12.75">
      <c r="Q307" s="8"/>
    </row>
    <row r="308" ht="12.75">
      <c r="Q308" s="8"/>
    </row>
    <row r="309" ht="12.75">
      <c r="Q309" s="8"/>
    </row>
    <row r="310" ht="12.75">
      <c r="Q310" s="8"/>
    </row>
    <row r="311" ht="12.75">
      <c r="Q311" s="8"/>
    </row>
    <row r="312" ht="12.75">
      <c r="Q312" s="8"/>
    </row>
    <row r="313" ht="12.75">
      <c r="Q313" s="8"/>
    </row>
    <row r="314" ht="12.75">
      <c r="Q314" s="8"/>
    </row>
    <row r="315" ht="12.75">
      <c r="Q315" s="8"/>
    </row>
    <row r="316" ht="12.75">
      <c r="Q316" s="8"/>
    </row>
    <row r="317" ht="12.75">
      <c r="Q317" s="8"/>
    </row>
    <row r="318" ht="12.75">
      <c r="Q318" s="8"/>
    </row>
    <row r="319" ht="12.75">
      <c r="Q319" s="8"/>
    </row>
    <row r="320" ht="12.75">
      <c r="Q320" s="8"/>
    </row>
    <row r="321" ht="12.75">
      <c r="Q321" s="8"/>
    </row>
    <row r="322" ht="12.75">
      <c r="Q322" s="8"/>
    </row>
    <row r="323" ht="12.75">
      <c r="Q323" s="8"/>
    </row>
    <row r="324" ht="12.75">
      <c r="Q324" s="8"/>
    </row>
    <row r="325" ht="12.75">
      <c r="Q325" s="8"/>
    </row>
    <row r="326" ht="12.75">
      <c r="Q326" s="8"/>
    </row>
    <row r="327" ht="12.75">
      <c r="Q327" s="8"/>
    </row>
    <row r="328" ht="12.75">
      <c r="Q328" s="8"/>
    </row>
    <row r="329" ht="12.75">
      <c r="Q329" s="8"/>
    </row>
    <row r="330" ht="12.75">
      <c r="Q330" s="8"/>
    </row>
    <row r="331" ht="12.75">
      <c r="Q331" s="8"/>
    </row>
    <row r="332" ht="12.75">
      <c r="Q332" s="8"/>
    </row>
    <row r="333" ht="12.75">
      <c r="Q333" s="8"/>
    </row>
    <row r="334" ht="12.75">
      <c r="Q334" s="8"/>
    </row>
    <row r="335" ht="12.75">
      <c r="Q335" s="8"/>
    </row>
    <row r="336" ht="12.75">
      <c r="Q336" s="8"/>
    </row>
    <row r="337" ht="12.75">
      <c r="Q337" s="8"/>
    </row>
    <row r="338" ht="12.75">
      <c r="Q338" s="8"/>
    </row>
    <row r="339" ht="12.75">
      <c r="Q339" s="8"/>
    </row>
    <row r="340" ht="12.75">
      <c r="Q340" s="8"/>
    </row>
    <row r="341" ht="12.75">
      <c r="Q341" s="8"/>
    </row>
    <row r="342" ht="12.75">
      <c r="Q342" s="8"/>
    </row>
    <row r="343" ht="12.75">
      <c r="Q343" s="8"/>
    </row>
    <row r="344" ht="12.75">
      <c r="Q344" s="8"/>
    </row>
    <row r="345" ht="12.75">
      <c r="Q345" s="8"/>
    </row>
    <row r="346" ht="12.75">
      <c r="Q346" s="8"/>
    </row>
    <row r="347" ht="12.75">
      <c r="Q347" s="8"/>
    </row>
    <row r="348" ht="12.75">
      <c r="Q348" s="8"/>
    </row>
    <row r="349" ht="12.75">
      <c r="Q349" s="8"/>
    </row>
    <row r="350" ht="12.75">
      <c r="Q350" s="8"/>
    </row>
    <row r="351" ht="12.75">
      <c r="Q351" s="8"/>
    </row>
    <row r="352" ht="12.75">
      <c r="Q352" s="8"/>
    </row>
    <row r="353" ht="12.75">
      <c r="Q353" s="8"/>
    </row>
    <row r="354" ht="12.75">
      <c r="Q354" s="8"/>
    </row>
    <row r="355" ht="12.75">
      <c r="Q355" s="8"/>
    </row>
    <row r="356" ht="12.75">
      <c r="Q356" s="8"/>
    </row>
  </sheetData>
  <mergeCells count="38">
    <mergeCell ref="F3:F4"/>
    <mergeCell ref="B3:B4"/>
    <mergeCell ref="C3:C4"/>
    <mergeCell ref="D3:D4"/>
    <mergeCell ref="E3:E4"/>
    <mergeCell ref="R3:R4"/>
    <mergeCell ref="S3:S4"/>
    <mergeCell ref="T3:T4"/>
    <mergeCell ref="G3:G4"/>
    <mergeCell ref="H3:H4"/>
    <mergeCell ref="I3:I4"/>
    <mergeCell ref="J3:J4"/>
    <mergeCell ref="Q3:Q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A3:AA4"/>
    <mergeCell ref="AB3:AB4"/>
    <mergeCell ref="J10:J11"/>
    <mergeCell ref="J14:J15"/>
    <mergeCell ref="J19:J20"/>
    <mergeCell ref="J29:J30"/>
    <mergeCell ref="J48:J49"/>
    <mergeCell ref="J59:J62"/>
    <mergeCell ref="J76:J78"/>
    <mergeCell ref="J97:J100"/>
    <mergeCell ref="J216:J220"/>
    <mergeCell ref="J111:J112"/>
    <mergeCell ref="J176:J179"/>
    <mergeCell ref="J193:J195"/>
    <mergeCell ref="J202:J208"/>
  </mergeCells>
  <printOptions horizontalCentered="1"/>
  <pageMargins left="0.11811023622047245" right="0.11811023622047245" top="0.39" bottom="0.47" header="0.36" footer="0.47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494"/>
  <sheetViews>
    <sheetView zoomScale="150" zoomScaleNormal="150" workbookViewId="0" topLeftCell="A81">
      <selection activeCell="F11" sqref="F11"/>
    </sheetView>
  </sheetViews>
  <sheetFormatPr defaultColWidth="9.140625" defaultRowHeight="12.75"/>
  <cols>
    <col min="1" max="1" width="70.8515625" style="247" customWidth="1"/>
    <col min="2" max="2" width="5.7109375" style="246" hidden="1" customWidth="1"/>
    <col min="3" max="3" width="23.7109375" style="245" hidden="1" customWidth="1"/>
    <col min="4" max="4" width="15.140625" style="246" hidden="1" customWidth="1"/>
    <col min="5" max="5" width="16.00390625" style="245" customWidth="1"/>
    <col min="6" max="6" width="14.8515625" style="245" bestFit="1" customWidth="1"/>
    <col min="7" max="7" width="13.140625" style="245" customWidth="1"/>
    <col min="8" max="11" width="9.140625" style="245" customWidth="1"/>
    <col min="12" max="16384" width="9.140625" style="246" customWidth="1"/>
  </cols>
  <sheetData>
    <row r="1" spans="1:5" ht="26.25" customHeight="1">
      <c r="A1" s="594" t="s">
        <v>265</v>
      </c>
      <c r="B1" s="594"/>
      <c r="C1" s="594"/>
      <c r="D1" s="594"/>
      <c r="E1" s="594"/>
    </row>
    <row r="3" spans="1:11" s="249" customFormat="1" ht="15.75">
      <c r="A3" s="248" t="s">
        <v>1109</v>
      </c>
      <c r="C3" s="250"/>
      <c r="E3" s="251">
        <f>E5+E16+E21+E30+E42+E49+E78+E89+E95+E102+E246+E262+E333+E341+E347+E71+E328</f>
        <v>14074783.180000002</v>
      </c>
      <c r="F3" s="250"/>
      <c r="G3" s="250"/>
      <c r="H3" s="250"/>
      <c r="I3" s="250"/>
      <c r="J3" s="250"/>
      <c r="K3" s="250"/>
    </row>
    <row r="5" spans="1:5" ht="15.75">
      <c r="A5" s="252" t="s">
        <v>887</v>
      </c>
      <c r="C5" s="253">
        <v>1233650.42</v>
      </c>
      <c r="E5" s="253">
        <f>SUM(E8:E14)</f>
        <v>164873.88</v>
      </c>
    </row>
    <row r="6" ht="15.75">
      <c r="A6" s="233"/>
    </row>
    <row r="7" ht="15.75">
      <c r="A7" s="233" t="s">
        <v>888</v>
      </c>
    </row>
    <row r="8" spans="1:5" ht="15.75">
      <c r="A8" s="254" t="s">
        <v>889</v>
      </c>
      <c r="C8" s="250">
        <v>41163.41</v>
      </c>
      <c r="E8" s="595">
        <v>4100</v>
      </c>
    </row>
    <row r="9" spans="1:5" ht="31.5">
      <c r="A9" s="254" t="s">
        <v>518</v>
      </c>
      <c r="E9" s="595"/>
    </row>
    <row r="10" spans="1:5" ht="31.5">
      <c r="A10" s="255" t="s">
        <v>150</v>
      </c>
      <c r="C10" s="234">
        <v>3050</v>
      </c>
      <c r="E10" s="234">
        <v>131258.06</v>
      </c>
    </row>
    <row r="11" spans="1:5" ht="31.5">
      <c r="A11" s="255" t="s">
        <v>152</v>
      </c>
      <c r="C11" s="234">
        <v>3050</v>
      </c>
      <c r="E11" s="234">
        <v>20675.49</v>
      </c>
    </row>
    <row r="12" spans="1:5" ht="15.75">
      <c r="A12" s="254" t="s">
        <v>890</v>
      </c>
      <c r="C12" s="234">
        <v>1284</v>
      </c>
      <c r="E12" s="234">
        <v>2140</v>
      </c>
    </row>
    <row r="13" spans="1:5" ht="15.75">
      <c r="A13" s="255" t="s">
        <v>891</v>
      </c>
      <c r="C13" s="250">
        <v>12915.96</v>
      </c>
      <c r="E13" s="234">
        <v>681.48</v>
      </c>
    </row>
    <row r="14" spans="1:5" ht="15.75">
      <c r="A14" s="255" t="s">
        <v>151</v>
      </c>
      <c r="C14" s="250">
        <v>12915.96</v>
      </c>
      <c r="E14" s="234">
        <f>6700.33-E13</f>
        <v>6018.85</v>
      </c>
    </row>
    <row r="15" ht="15.75" hidden="1">
      <c r="A15" s="248"/>
    </row>
    <row r="16" spans="1:5" ht="15.75" hidden="1">
      <c r="A16" s="252" t="s">
        <v>892</v>
      </c>
      <c r="C16" s="253">
        <v>2010</v>
      </c>
      <c r="E16" s="253">
        <f>E18+E19</f>
        <v>0</v>
      </c>
    </row>
    <row r="17" ht="15.75" hidden="1">
      <c r="A17" s="233"/>
    </row>
    <row r="18" spans="1:5" ht="15.75" hidden="1">
      <c r="A18" s="255" t="s">
        <v>326</v>
      </c>
      <c r="E18" s="234">
        <v>0</v>
      </c>
    </row>
    <row r="19" spans="1:5" ht="15.75" hidden="1">
      <c r="A19" s="255" t="s">
        <v>327</v>
      </c>
      <c r="E19" s="234">
        <v>0</v>
      </c>
    </row>
    <row r="20" ht="12.75" hidden="1"/>
    <row r="21" spans="1:5" ht="15.75" hidden="1">
      <c r="A21" s="252" t="s">
        <v>893</v>
      </c>
      <c r="C21" s="253">
        <v>266390.92</v>
      </c>
      <c r="E21" s="253">
        <f>SUM(E24:E28)</f>
        <v>0</v>
      </c>
    </row>
    <row r="22" ht="15.75" hidden="1">
      <c r="A22" s="233"/>
    </row>
    <row r="23" ht="15.75" hidden="1">
      <c r="A23" s="233" t="s">
        <v>888</v>
      </c>
    </row>
    <row r="24" spans="1:5" ht="63" hidden="1">
      <c r="A24" s="255" t="s">
        <v>1106</v>
      </c>
      <c r="E24" s="234">
        <v>0</v>
      </c>
    </row>
    <row r="25" spans="1:5" ht="15.75" hidden="1">
      <c r="A25" s="255" t="s">
        <v>328</v>
      </c>
      <c r="E25" s="234">
        <v>0</v>
      </c>
    </row>
    <row r="26" spans="1:5" ht="15.75" hidden="1">
      <c r="A26" s="255" t="s">
        <v>329</v>
      </c>
      <c r="E26" s="234">
        <v>0</v>
      </c>
    </row>
    <row r="27" spans="1:5" ht="15.75" hidden="1">
      <c r="A27" s="255" t="s">
        <v>330</v>
      </c>
      <c r="E27" s="234">
        <v>0</v>
      </c>
    </row>
    <row r="28" spans="1:5" ht="31.5" hidden="1">
      <c r="A28" s="255" t="s">
        <v>331</v>
      </c>
      <c r="E28" s="234">
        <v>0</v>
      </c>
    </row>
    <row r="29" ht="15.75">
      <c r="A29" s="233"/>
    </row>
    <row r="30" spans="1:5" ht="15.75">
      <c r="A30" s="252" t="s">
        <v>894</v>
      </c>
      <c r="C30" s="253">
        <v>726277.2</v>
      </c>
      <c r="E30" s="253">
        <f>SUM(E33:E40)</f>
        <v>549769.9299999999</v>
      </c>
    </row>
    <row r="31" ht="15.75">
      <c r="A31" s="233"/>
    </row>
    <row r="32" ht="15.75">
      <c r="A32" s="233" t="s">
        <v>895</v>
      </c>
    </row>
    <row r="33" spans="1:5" ht="68.25" customHeight="1">
      <c r="A33" s="255" t="s">
        <v>886</v>
      </c>
      <c r="C33" s="234">
        <v>593426.32</v>
      </c>
      <c r="E33" s="234">
        <v>231000</v>
      </c>
    </row>
    <row r="34" spans="1:5" ht="50.25" customHeight="1" hidden="1">
      <c r="A34" s="255" t="s">
        <v>321</v>
      </c>
      <c r="C34" s="234">
        <v>593426.32</v>
      </c>
      <c r="E34" s="234"/>
    </row>
    <row r="35" spans="1:5" ht="47.25">
      <c r="A35" s="255" t="s">
        <v>153</v>
      </c>
      <c r="E35" s="234">
        <v>268817</v>
      </c>
    </row>
    <row r="36" spans="1:5" ht="15.75">
      <c r="A36" s="255" t="s">
        <v>896</v>
      </c>
      <c r="C36" s="250">
        <v>20571.44</v>
      </c>
      <c r="E36" s="234">
        <v>40.05</v>
      </c>
    </row>
    <row r="37" spans="1:5" ht="15.75">
      <c r="A37" s="255" t="s">
        <v>332</v>
      </c>
      <c r="C37" s="250"/>
      <c r="E37" s="234">
        <v>17319.85</v>
      </c>
    </row>
    <row r="38" spans="1:5" ht="15.75" hidden="1">
      <c r="A38" s="255" t="s">
        <v>333</v>
      </c>
      <c r="C38" s="250"/>
      <c r="E38" s="234"/>
    </row>
    <row r="39" spans="1:5" ht="15.75" hidden="1">
      <c r="A39" s="255" t="s">
        <v>897</v>
      </c>
      <c r="C39" s="250">
        <v>2440</v>
      </c>
      <c r="E39" s="234"/>
    </row>
    <row r="40" spans="1:5" ht="31.5">
      <c r="A40" s="255" t="s">
        <v>334</v>
      </c>
      <c r="C40" s="234">
        <v>28011.83</v>
      </c>
      <c r="E40" s="234">
        <v>32593.03</v>
      </c>
    </row>
    <row r="41" ht="15.75">
      <c r="A41" s="235"/>
    </row>
    <row r="42" spans="1:5" ht="15.75">
      <c r="A42" s="252" t="s">
        <v>898</v>
      </c>
      <c r="C42" s="253">
        <v>857.45</v>
      </c>
      <c r="E42" s="253">
        <f>E45+E46+E47</f>
        <v>2400</v>
      </c>
    </row>
    <row r="43" ht="15.75">
      <c r="A43" s="233"/>
    </row>
    <row r="44" ht="15.75">
      <c r="A44" s="254" t="s">
        <v>895</v>
      </c>
    </row>
    <row r="45" spans="1:12" ht="34.5" customHeight="1" hidden="1">
      <c r="A45" s="256" t="s">
        <v>899</v>
      </c>
      <c r="E45" s="234"/>
      <c r="L45" s="257"/>
    </row>
    <row r="46" spans="1:12" ht="15.75" hidden="1">
      <c r="A46" s="256" t="s">
        <v>900</v>
      </c>
      <c r="E46" s="234"/>
      <c r="L46" s="257"/>
    </row>
    <row r="47" spans="1:12" ht="31.5">
      <c r="A47" s="256" t="s">
        <v>154</v>
      </c>
      <c r="E47" s="234">
        <v>2400</v>
      </c>
      <c r="L47" s="257"/>
    </row>
    <row r="48" ht="15.75">
      <c r="A48" s="248"/>
    </row>
    <row r="49" spans="1:5" ht="15.75">
      <c r="A49" s="252" t="s">
        <v>901</v>
      </c>
      <c r="C49" s="253">
        <v>2319975.97</v>
      </c>
      <c r="E49" s="253">
        <f>SUM(E52:E69)</f>
        <v>981430.76</v>
      </c>
    </row>
    <row r="50" ht="15.75">
      <c r="A50" s="233"/>
    </row>
    <row r="51" ht="15.75">
      <c r="A51" s="233" t="s">
        <v>895</v>
      </c>
    </row>
    <row r="52" spans="1:5" ht="15.75">
      <c r="A52" s="254" t="s">
        <v>902</v>
      </c>
      <c r="C52" s="250">
        <v>46144</v>
      </c>
      <c r="E52" s="234">
        <v>26768</v>
      </c>
    </row>
    <row r="53" spans="1:5" ht="45.75" customHeight="1">
      <c r="A53" s="255" t="s">
        <v>336</v>
      </c>
      <c r="C53" s="234">
        <v>108919.18</v>
      </c>
      <c r="E53" s="234">
        <v>41003.92</v>
      </c>
    </row>
    <row r="54" spans="1:5" ht="31.5">
      <c r="A54" s="255" t="s">
        <v>335</v>
      </c>
      <c r="C54" s="250">
        <v>54527.2</v>
      </c>
      <c r="E54" s="234">
        <f>820+820+808.92+820+1752.72+1198.4</f>
        <v>6220.040000000001</v>
      </c>
    </row>
    <row r="55" spans="1:5" ht="31.5">
      <c r="A55" s="255" t="s">
        <v>337</v>
      </c>
      <c r="C55" s="250">
        <v>11400</v>
      </c>
      <c r="E55" s="234">
        <v>7320</v>
      </c>
    </row>
    <row r="56" spans="1:5" ht="15.75">
      <c r="A56" s="255" t="s">
        <v>161</v>
      </c>
      <c r="C56" s="250">
        <v>11400</v>
      </c>
      <c r="E56" s="234">
        <f>254+244+266.61+16018.6</f>
        <v>16783.21</v>
      </c>
    </row>
    <row r="57" spans="1:5" ht="47.25">
      <c r="A57" s="255" t="s">
        <v>435</v>
      </c>
      <c r="C57" s="250">
        <v>1014548.93</v>
      </c>
      <c r="E57" s="234">
        <f>461268.74+56869.96+15083.26</f>
        <v>533221.96</v>
      </c>
    </row>
    <row r="58" spans="1:5" ht="15.75">
      <c r="A58" s="254" t="s">
        <v>903</v>
      </c>
      <c r="C58" s="234">
        <v>191831.68</v>
      </c>
      <c r="E58" s="234">
        <f>90469.94+13538.72</f>
        <v>104008.66</v>
      </c>
    </row>
    <row r="59" spans="1:5" ht="15.75">
      <c r="A59" s="254" t="s">
        <v>904</v>
      </c>
      <c r="C59" s="234">
        <v>30960</v>
      </c>
      <c r="E59" s="234">
        <v>25000</v>
      </c>
    </row>
    <row r="60" spans="1:5" ht="15.75">
      <c r="A60" s="255" t="s">
        <v>162</v>
      </c>
      <c r="C60" s="250">
        <v>90120.77</v>
      </c>
      <c r="E60" s="234">
        <f>376.8+1339.17</f>
        <v>1715.97</v>
      </c>
    </row>
    <row r="61" spans="1:5" ht="31.5">
      <c r="A61" s="255" t="s">
        <v>192</v>
      </c>
      <c r="C61" s="250">
        <v>5650</v>
      </c>
      <c r="E61" s="234">
        <f>97.36+122+135.01+71+44.65+36.2+1142.94</f>
        <v>1649.16</v>
      </c>
    </row>
    <row r="62" spans="1:5" ht="15.75">
      <c r="A62" s="254" t="s">
        <v>905</v>
      </c>
      <c r="C62" s="250">
        <v>71080.78</v>
      </c>
      <c r="E62" s="234">
        <f>1784.68</f>
        <v>1784.68</v>
      </c>
    </row>
    <row r="63" spans="1:5" ht="31.5">
      <c r="A63" s="255" t="s">
        <v>906</v>
      </c>
      <c r="C63" s="234">
        <v>73726.65</v>
      </c>
      <c r="E63" s="234">
        <f>15372+732+829.6+5707.16+2196+4782.4+3957.38</f>
        <v>33576.53999999999</v>
      </c>
    </row>
    <row r="64" spans="1:5" ht="97.5" customHeight="1">
      <c r="A64" s="255" t="s">
        <v>434</v>
      </c>
      <c r="C64" s="234">
        <v>348977.91</v>
      </c>
      <c r="E64" s="234">
        <f>169704.16-15083.26</f>
        <v>154620.9</v>
      </c>
    </row>
    <row r="65" spans="1:5" ht="31.5">
      <c r="A65" s="255" t="s">
        <v>436</v>
      </c>
      <c r="C65" s="234">
        <v>2384.39</v>
      </c>
      <c r="E65" s="234">
        <f>23468.67-E66</f>
        <v>18607.86</v>
      </c>
    </row>
    <row r="66" spans="1:5" ht="15.75">
      <c r="A66" s="255" t="s">
        <v>438</v>
      </c>
      <c r="C66" s="234">
        <v>2384.39</v>
      </c>
      <c r="E66" s="234">
        <f>209.93+228+3323.28+60+1039.6</f>
        <v>4860.8099999999995</v>
      </c>
    </row>
    <row r="67" spans="1:5" ht="47.25">
      <c r="A67" s="255" t="s">
        <v>437</v>
      </c>
      <c r="C67" s="234">
        <v>45294.72</v>
      </c>
      <c r="E67" s="234">
        <f>200+114.28+116.62+108.74+70.19+30.69+59.92+211.1+200+131.03+99.51+112+91.21+211.16+20.24+117.57+59.99+200+62.34+24.61+126.88</f>
        <v>2368.0800000000004</v>
      </c>
    </row>
    <row r="68" spans="1:5" ht="15.75">
      <c r="A68" s="255" t="s">
        <v>907</v>
      </c>
      <c r="C68" s="250">
        <v>4813.98</v>
      </c>
      <c r="E68" s="234">
        <f>136.64+94.48+136.64+136.64+110.52+91.93+136.64+72.2+136.64+136.64</f>
        <v>1188.9699999999998</v>
      </c>
    </row>
    <row r="69" spans="1:5" ht="31.5">
      <c r="A69" s="255" t="s">
        <v>338</v>
      </c>
      <c r="C69" s="250">
        <v>4813.98</v>
      </c>
      <c r="E69" s="234">
        <v>732</v>
      </c>
    </row>
    <row r="70" ht="15.75">
      <c r="A70" s="235"/>
    </row>
    <row r="71" spans="1:5" ht="47.25" hidden="1">
      <c r="A71" s="258" t="s">
        <v>908</v>
      </c>
      <c r="C71" s="253">
        <v>9910.15</v>
      </c>
      <c r="E71" s="253">
        <f>E74+E76+E75</f>
        <v>0</v>
      </c>
    </row>
    <row r="72" spans="1:5" ht="15.75" hidden="1">
      <c r="A72" s="258"/>
      <c r="C72" s="253"/>
      <c r="E72" s="253"/>
    </row>
    <row r="73" ht="15.75" hidden="1">
      <c r="A73" s="233" t="s">
        <v>895</v>
      </c>
    </row>
    <row r="74" spans="1:5" ht="15.75" hidden="1">
      <c r="A74" s="254" t="s">
        <v>909</v>
      </c>
      <c r="C74" s="234">
        <v>1050</v>
      </c>
      <c r="E74" s="234"/>
    </row>
    <row r="75" spans="1:5" ht="15.75" hidden="1">
      <c r="A75" s="255" t="s">
        <v>339</v>
      </c>
      <c r="C75" s="234">
        <v>8860.15</v>
      </c>
      <c r="E75" s="234"/>
    </row>
    <row r="76" spans="1:5" ht="15.75" hidden="1">
      <c r="A76" s="255" t="s">
        <v>340</v>
      </c>
      <c r="C76" s="234">
        <v>8860.15</v>
      </c>
      <c r="E76" s="234"/>
    </row>
    <row r="77" ht="15.75" hidden="1">
      <c r="A77" s="248"/>
    </row>
    <row r="78" spans="1:5" ht="31.5">
      <c r="A78" s="258" t="s">
        <v>155</v>
      </c>
      <c r="E78" s="253">
        <f>SUM(E81:E87)</f>
        <v>37595.909999999996</v>
      </c>
    </row>
    <row r="79" spans="3:5" ht="15.75">
      <c r="C79" s="253">
        <v>169744.09</v>
      </c>
      <c r="E79" s="246"/>
    </row>
    <row r="80" ht="15.75">
      <c r="A80" s="233" t="s">
        <v>895</v>
      </c>
    </row>
    <row r="81" spans="1:5" ht="31.5">
      <c r="A81" s="255" t="s">
        <v>439</v>
      </c>
      <c r="C81" s="234">
        <v>82818.52</v>
      </c>
      <c r="E81" s="234">
        <v>1258.01</v>
      </c>
    </row>
    <row r="82" spans="1:5" ht="47.25">
      <c r="A82" s="306" t="s">
        <v>199</v>
      </c>
      <c r="C82" s="234">
        <v>82818.52</v>
      </c>
      <c r="E82" s="234">
        <v>783.59</v>
      </c>
    </row>
    <row r="83" spans="1:5" ht="31.5">
      <c r="A83" s="255" t="s">
        <v>157</v>
      </c>
      <c r="C83" s="234">
        <v>82818.52</v>
      </c>
      <c r="E83" s="234">
        <f>320.01+1078.87+278+625.01+480+1172.28</f>
        <v>3954.17</v>
      </c>
    </row>
    <row r="84" spans="1:5" ht="15.75">
      <c r="A84" s="254" t="s">
        <v>910</v>
      </c>
      <c r="C84" s="234">
        <v>82818.52</v>
      </c>
      <c r="E84" s="234">
        <v>29174.05</v>
      </c>
    </row>
    <row r="85" spans="1:5" ht="15.75">
      <c r="A85" s="255" t="s">
        <v>156</v>
      </c>
      <c r="C85" s="234">
        <v>82818.52</v>
      </c>
      <c r="E85" s="234">
        <f>546.19+742.26</f>
        <v>1288.45</v>
      </c>
    </row>
    <row r="86" spans="1:5" ht="31.5">
      <c r="A86" s="255" t="s">
        <v>911</v>
      </c>
      <c r="C86" s="234">
        <v>82818.52</v>
      </c>
      <c r="E86" s="234">
        <f>78.5+156.43+365.25+269.41+32.75+85.3</f>
        <v>987.6400000000001</v>
      </c>
    </row>
    <row r="87" spans="1:5" ht="15.75">
      <c r="A87" s="255" t="s">
        <v>440</v>
      </c>
      <c r="C87" s="250">
        <v>3396.94</v>
      </c>
      <c r="E87" s="234">
        <v>150</v>
      </c>
    </row>
    <row r="88" ht="15.75">
      <c r="A88" s="248"/>
    </row>
    <row r="89" spans="1:5" ht="47.25">
      <c r="A89" s="252" t="s">
        <v>912</v>
      </c>
      <c r="C89" s="253">
        <v>34564.06</v>
      </c>
      <c r="E89" s="253">
        <f>SUM(E91:E93)</f>
        <v>17733.02</v>
      </c>
    </row>
    <row r="90" ht="15.75">
      <c r="A90" s="233" t="s">
        <v>895</v>
      </c>
    </row>
    <row r="91" spans="1:5" ht="15.75">
      <c r="A91" s="254" t="s">
        <v>913</v>
      </c>
      <c r="C91" s="234">
        <v>32789.65</v>
      </c>
      <c r="E91" s="234">
        <v>16078.01</v>
      </c>
    </row>
    <row r="92" spans="1:5" ht="15.75">
      <c r="A92" s="259" t="s">
        <v>914</v>
      </c>
      <c r="C92" s="250" t="s">
        <v>915</v>
      </c>
      <c r="E92" s="236">
        <v>564.72</v>
      </c>
    </row>
    <row r="93" spans="1:5" ht="15.75">
      <c r="A93" s="260" t="s">
        <v>916</v>
      </c>
      <c r="C93" s="250">
        <v>1684.74</v>
      </c>
      <c r="E93" s="234">
        <v>1090.29</v>
      </c>
    </row>
    <row r="94" ht="15.75">
      <c r="A94" s="248"/>
    </row>
    <row r="95" spans="1:5" ht="31.5">
      <c r="A95" s="252" t="s">
        <v>917</v>
      </c>
      <c r="E95" s="253">
        <f>SUM(E96:E100)</f>
        <v>63084.11000000001</v>
      </c>
    </row>
    <row r="96" spans="1:5" ht="47.25">
      <c r="A96" s="255" t="s">
        <v>158</v>
      </c>
      <c r="C96" s="234">
        <v>83155.13</v>
      </c>
      <c r="E96" s="234">
        <v>1464.01</v>
      </c>
    </row>
    <row r="97" spans="1:5" ht="47.25">
      <c r="A97" s="255" t="s">
        <v>159</v>
      </c>
      <c r="C97" s="234"/>
      <c r="E97" s="234">
        <v>34139.61</v>
      </c>
    </row>
    <row r="98" spans="1:5" ht="47.25">
      <c r="A98" s="255" t="s">
        <v>160</v>
      </c>
      <c r="C98" s="234"/>
      <c r="E98" s="234">
        <v>8216.84</v>
      </c>
    </row>
    <row r="99" spans="1:5" ht="63">
      <c r="A99" s="255" t="s">
        <v>1050</v>
      </c>
      <c r="C99" s="234"/>
      <c r="E99" s="234">
        <v>553.32</v>
      </c>
    </row>
    <row r="100" spans="1:5" ht="31.5">
      <c r="A100" s="255" t="s">
        <v>1051</v>
      </c>
      <c r="C100" s="234">
        <v>83155.13</v>
      </c>
      <c r="E100" s="234">
        <v>18710.33</v>
      </c>
    </row>
    <row r="101" ht="15.75">
      <c r="A101" s="235"/>
    </row>
    <row r="102" spans="1:5" ht="15.75">
      <c r="A102" s="252" t="s">
        <v>918</v>
      </c>
      <c r="C102" s="253">
        <v>5520558.42</v>
      </c>
      <c r="E102" s="253">
        <f>E104+E165+E206+E220+E225+E237+E242+E191</f>
        <v>10665483.600000001</v>
      </c>
    </row>
    <row r="103" spans="1:5" ht="15.75">
      <c r="A103" s="252"/>
      <c r="C103" s="253"/>
      <c r="E103" s="253"/>
    </row>
    <row r="104" spans="1:5" ht="15.75">
      <c r="A104" s="248" t="s">
        <v>919</v>
      </c>
      <c r="C104" s="250">
        <v>2753439.81</v>
      </c>
      <c r="E104" s="250">
        <f>E106+E121+E137+E152</f>
        <v>1474380.4700000002</v>
      </c>
    </row>
    <row r="105" spans="1:5" ht="15.75">
      <c r="A105" s="248"/>
      <c r="C105" s="250"/>
      <c r="E105" s="250"/>
    </row>
    <row r="106" spans="1:5" ht="15.75">
      <c r="A106" s="261" t="s">
        <v>920</v>
      </c>
      <c r="C106" s="262">
        <v>1468700.58</v>
      </c>
      <c r="E106" s="262">
        <f>SUM(E107:E119)</f>
        <v>873973.1900000002</v>
      </c>
    </row>
    <row r="107" ht="15.75">
      <c r="A107" s="233" t="s">
        <v>1052</v>
      </c>
    </row>
    <row r="108" spans="1:5" ht="15.75">
      <c r="A108" s="233" t="s">
        <v>924</v>
      </c>
      <c r="C108" s="234">
        <v>1143730.62</v>
      </c>
      <c r="E108" s="234">
        <v>733791.51</v>
      </c>
    </row>
    <row r="109" ht="15.75">
      <c r="A109" s="233" t="s">
        <v>925</v>
      </c>
    </row>
    <row r="110" spans="1:5" ht="15.75" hidden="1">
      <c r="A110" s="254" t="s">
        <v>926</v>
      </c>
      <c r="C110" s="234">
        <v>1788.6</v>
      </c>
      <c r="E110" s="234"/>
    </row>
    <row r="111" spans="1:5" ht="15.75">
      <c r="A111" s="254" t="s">
        <v>927</v>
      </c>
      <c r="C111" s="234">
        <v>64157.61</v>
      </c>
      <c r="E111" s="234">
        <v>26530.26</v>
      </c>
    </row>
    <row r="112" spans="1:5" ht="15.75">
      <c r="A112" s="254" t="s">
        <v>928</v>
      </c>
      <c r="C112" s="234">
        <v>2366.49</v>
      </c>
      <c r="E112" s="234">
        <v>1359.77</v>
      </c>
    </row>
    <row r="113" ht="15.75">
      <c r="A113" s="254" t="s">
        <v>929</v>
      </c>
    </row>
    <row r="114" spans="1:5" ht="15.75">
      <c r="A114" s="254" t="s">
        <v>1053</v>
      </c>
      <c r="C114" s="234">
        <v>45687.06</v>
      </c>
      <c r="E114" s="234">
        <v>16946.26</v>
      </c>
    </row>
    <row r="115" spans="1:5" ht="15.75">
      <c r="A115" s="255" t="s">
        <v>1054</v>
      </c>
      <c r="E115" s="234">
        <v>248.98</v>
      </c>
    </row>
    <row r="116" spans="1:5" ht="15.75">
      <c r="A116" s="254" t="s">
        <v>930</v>
      </c>
      <c r="C116" s="234">
        <v>81925.81</v>
      </c>
      <c r="E116" s="234">
        <v>92598.91</v>
      </c>
    </row>
    <row r="117" spans="1:5" ht="15.75">
      <c r="A117" s="255" t="s">
        <v>341</v>
      </c>
      <c r="C117" s="234">
        <v>15697.45</v>
      </c>
      <c r="E117" s="234">
        <v>634.4</v>
      </c>
    </row>
    <row r="118" spans="1:5" ht="15.75">
      <c r="A118" s="254" t="s">
        <v>931</v>
      </c>
      <c r="C118" s="234">
        <v>3152.48</v>
      </c>
      <c r="E118" s="234">
        <v>1132.3</v>
      </c>
    </row>
    <row r="119" spans="1:5" ht="15.75">
      <c r="A119" s="255" t="s">
        <v>1055</v>
      </c>
      <c r="C119" s="234">
        <v>3152.48</v>
      </c>
      <c r="E119" s="234">
        <v>730.8</v>
      </c>
    </row>
    <row r="120" spans="1:5" ht="15.75">
      <c r="A120" s="255"/>
      <c r="C120" s="234"/>
      <c r="E120" s="234"/>
    </row>
    <row r="121" spans="1:5" ht="15.75">
      <c r="A121" s="261" t="s">
        <v>515</v>
      </c>
      <c r="C121" s="262">
        <v>561194.96</v>
      </c>
      <c r="E121" s="262">
        <f>SUM(E123:E135)</f>
        <v>294384.13000000006</v>
      </c>
    </row>
    <row r="122" ht="15.75">
      <c r="A122" s="233" t="s">
        <v>1056</v>
      </c>
    </row>
    <row r="123" spans="1:5" ht="15.75">
      <c r="A123" s="233" t="s">
        <v>932</v>
      </c>
      <c r="C123" s="234">
        <v>466665.82</v>
      </c>
      <c r="E123" s="234">
        <v>220562.92</v>
      </c>
    </row>
    <row r="124" ht="15.75">
      <c r="A124" s="233" t="s">
        <v>925</v>
      </c>
    </row>
    <row r="125" spans="1:5" ht="15.75" hidden="1">
      <c r="A125" s="254" t="s">
        <v>926</v>
      </c>
      <c r="C125" s="236" t="s">
        <v>933</v>
      </c>
      <c r="E125" s="236"/>
    </row>
    <row r="126" spans="1:5" ht="15.75">
      <c r="A126" s="254" t="s">
        <v>927</v>
      </c>
      <c r="C126" s="234">
        <v>13826.34</v>
      </c>
      <c r="E126" s="234">
        <f>57802.87-E127</f>
        <v>7462.870000000003</v>
      </c>
    </row>
    <row r="127" spans="1:5" ht="15.75">
      <c r="A127" s="254" t="s">
        <v>934</v>
      </c>
      <c r="C127" s="234">
        <v>46343.56</v>
      </c>
      <c r="E127" s="234">
        <v>50340</v>
      </c>
    </row>
    <row r="128" spans="1:5" ht="15.75">
      <c r="A128" s="254" t="s">
        <v>935</v>
      </c>
      <c r="C128" s="234">
        <v>2190.07</v>
      </c>
      <c r="E128" s="234">
        <v>469.33</v>
      </c>
    </row>
    <row r="129" spans="1:5" ht="15.75">
      <c r="A129" s="254" t="s">
        <v>936</v>
      </c>
      <c r="C129" s="234">
        <v>6265.45</v>
      </c>
      <c r="E129" s="234">
        <v>4160.81</v>
      </c>
    </row>
    <row r="130" spans="1:5" ht="15.75">
      <c r="A130" s="255" t="s">
        <v>341</v>
      </c>
      <c r="C130" s="234">
        <v>15697.45</v>
      </c>
      <c r="E130" s="234">
        <v>1738.7</v>
      </c>
    </row>
    <row r="131" ht="15.75">
      <c r="A131" s="254" t="s">
        <v>937</v>
      </c>
    </row>
    <row r="132" spans="1:5" ht="15.75">
      <c r="A132" s="254" t="s">
        <v>938</v>
      </c>
      <c r="C132" s="234">
        <v>22317.48</v>
      </c>
      <c r="E132" s="234">
        <v>8210.44</v>
      </c>
    </row>
    <row r="133" spans="1:5" ht="15.75">
      <c r="A133" s="255" t="s">
        <v>1054</v>
      </c>
      <c r="C133" s="234"/>
      <c r="E133" s="234">
        <v>460</v>
      </c>
    </row>
    <row r="134" spans="1:5" ht="15.75">
      <c r="A134" s="254" t="s">
        <v>931</v>
      </c>
      <c r="C134" s="234">
        <v>2773.24</v>
      </c>
      <c r="E134" s="234">
        <v>632.26</v>
      </c>
    </row>
    <row r="135" spans="1:5" ht="15.75">
      <c r="A135" s="255" t="s">
        <v>1055</v>
      </c>
      <c r="C135" s="234"/>
      <c r="E135" s="234">
        <v>346.8</v>
      </c>
    </row>
    <row r="136" spans="1:5" ht="15.75">
      <c r="A136" s="233"/>
      <c r="C136" s="234"/>
      <c r="E136" s="234"/>
    </row>
    <row r="137" spans="1:5" ht="15.75">
      <c r="A137" s="261" t="s">
        <v>851</v>
      </c>
      <c r="C137" s="262">
        <v>375495.4</v>
      </c>
      <c r="E137" s="262">
        <f>SUM(E138:E150)</f>
        <v>180159.33999999997</v>
      </c>
    </row>
    <row r="138" ht="15.75">
      <c r="A138" s="233" t="s">
        <v>1052</v>
      </c>
    </row>
    <row r="139" spans="1:5" ht="15.75">
      <c r="A139" s="233" t="s">
        <v>924</v>
      </c>
      <c r="C139" s="234">
        <v>318537.61</v>
      </c>
      <c r="E139" s="234">
        <v>161210.19</v>
      </c>
    </row>
    <row r="140" ht="15.75">
      <c r="A140" s="233" t="s">
        <v>925</v>
      </c>
    </row>
    <row r="141" spans="1:5" ht="15.75" hidden="1">
      <c r="A141" s="254" t="s">
        <v>926</v>
      </c>
      <c r="C141" s="234">
        <v>243.9</v>
      </c>
      <c r="E141" s="234"/>
    </row>
    <row r="142" spans="1:5" ht="15.75">
      <c r="A142" s="254" t="s">
        <v>927</v>
      </c>
      <c r="C142" s="234">
        <v>20080.6</v>
      </c>
      <c r="E142" s="234">
        <f>9952.97-E143</f>
        <v>4342.169999999999</v>
      </c>
    </row>
    <row r="143" spans="1:5" ht="15.75">
      <c r="A143" s="254" t="s">
        <v>939</v>
      </c>
      <c r="C143" s="234">
        <v>17042.1</v>
      </c>
      <c r="E143" s="234">
        <v>5610.8</v>
      </c>
    </row>
    <row r="144" spans="1:5" ht="15.75">
      <c r="A144" s="254" t="s">
        <v>940</v>
      </c>
      <c r="C144" s="234">
        <v>1750.16</v>
      </c>
      <c r="E144" s="234">
        <v>542.78</v>
      </c>
    </row>
    <row r="145" spans="1:5" ht="15.75">
      <c r="A145" s="254" t="s">
        <v>941</v>
      </c>
      <c r="C145" s="234">
        <v>7030.04</v>
      </c>
      <c r="E145" s="234">
        <v>3486.61</v>
      </c>
    </row>
    <row r="146" spans="1:5" ht="15.75" hidden="1">
      <c r="A146" s="255" t="s">
        <v>341</v>
      </c>
      <c r="C146" s="234">
        <v>15697.45</v>
      </c>
      <c r="E146" s="234"/>
    </row>
    <row r="147" spans="1:5" ht="15.75">
      <c r="A147" s="255" t="s">
        <v>955</v>
      </c>
      <c r="E147" s="234">
        <v>3675.39</v>
      </c>
    </row>
    <row r="148" spans="1:5" ht="15.75">
      <c r="A148" s="255" t="s">
        <v>1054</v>
      </c>
      <c r="E148" s="234">
        <v>797.8</v>
      </c>
    </row>
    <row r="149" spans="1:5" ht="15.75">
      <c r="A149" s="254" t="s">
        <v>931</v>
      </c>
      <c r="C149" s="234">
        <v>1169.94</v>
      </c>
      <c r="E149" s="234">
        <v>80.8</v>
      </c>
    </row>
    <row r="150" spans="1:5" ht="15.75">
      <c r="A150" s="255" t="s">
        <v>1055</v>
      </c>
      <c r="C150" s="234"/>
      <c r="E150" s="234">
        <v>412.8</v>
      </c>
    </row>
    <row r="151" ht="15.75">
      <c r="A151" s="261"/>
    </row>
    <row r="152" spans="1:5" ht="15.75">
      <c r="A152" s="261" t="s">
        <v>852</v>
      </c>
      <c r="C152" s="262">
        <v>348048.87</v>
      </c>
      <c r="E152" s="262">
        <f>SUM(E153:E163)</f>
        <v>125863.81</v>
      </c>
    </row>
    <row r="153" ht="15.75">
      <c r="A153" s="233" t="s">
        <v>1057</v>
      </c>
    </row>
    <row r="154" spans="1:5" ht="15.75">
      <c r="A154" s="233" t="s">
        <v>932</v>
      </c>
      <c r="C154" s="234">
        <v>307584.8</v>
      </c>
      <c r="E154" s="234">
        <v>106929.92</v>
      </c>
    </row>
    <row r="155" ht="15.75">
      <c r="A155" s="233" t="s">
        <v>925</v>
      </c>
    </row>
    <row r="156" spans="1:5" ht="15.75" hidden="1">
      <c r="A156" s="254" t="s">
        <v>926</v>
      </c>
      <c r="C156" s="234">
        <v>487.8</v>
      </c>
      <c r="E156" s="234"/>
    </row>
    <row r="157" spans="1:5" ht="15.75">
      <c r="A157" s="254" t="s">
        <v>942</v>
      </c>
      <c r="C157" s="234">
        <v>10202.49</v>
      </c>
      <c r="E157" s="234">
        <v>2723.52</v>
      </c>
    </row>
    <row r="158" spans="1:5" ht="15.75">
      <c r="A158" s="254" t="s">
        <v>943</v>
      </c>
      <c r="C158" s="234">
        <v>1097.39</v>
      </c>
      <c r="E158" s="234">
        <v>127</v>
      </c>
    </row>
    <row r="159" spans="1:5" ht="15.75">
      <c r="A159" s="254" t="s">
        <v>944</v>
      </c>
      <c r="C159" s="234">
        <v>21934.26</v>
      </c>
      <c r="E159" s="234">
        <v>9484.49</v>
      </c>
    </row>
    <row r="160" spans="1:5" ht="15.75">
      <c r="A160" s="255" t="s">
        <v>946</v>
      </c>
      <c r="C160" s="234">
        <v>5282.94</v>
      </c>
      <c r="E160" s="234">
        <v>6071.9</v>
      </c>
    </row>
    <row r="161" spans="1:5" ht="15.75">
      <c r="A161" s="255" t="s">
        <v>1054</v>
      </c>
      <c r="C161" s="234"/>
      <c r="E161" s="234">
        <v>320</v>
      </c>
    </row>
    <row r="162" spans="1:5" ht="15.75">
      <c r="A162" s="254" t="s">
        <v>931</v>
      </c>
      <c r="C162" s="234">
        <v>521.29</v>
      </c>
      <c r="E162" s="234">
        <v>83.18</v>
      </c>
    </row>
    <row r="163" spans="1:5" ht="15.75">
      <c r="A163" s="255" t="s">
        <v>1055</v>
      </c>
      <c r="C163" s="234"/>
      <c r="E163" s="234">
        <v>123.8</v>
      </c>
    </row>
    <row r="164" ht="15.75">
      <c r="A164" s="248"/>
    </row>
    <row r="165" spans="1:5" ht="15.75">
      <c r="A165" s="248" t="s">
        <v>853</v>
      </c>
      <c r="C165" s="250">
        <v>836974.1</v>
      </c>
      <c r="E165" s="250">
        <f>E167+E173+E182</f>
        <v>131427.86</v>
      </c>
    </row>
    <row r="166" spans="1:5" ht="15.75">
      <c r="A166" s="248"/>
      <c r="C166" s="250"/>
      <c r="E166" s="250"/>
    </row>
    <row r="167" spans="1:5" ht="15.75">
      <c r="A167" s="261" t="s">
        <v>516</v>
      </c>
      <c r="C167" s="262">
        <v>48603.61</v>
      </c>
      <c r="E167" s="262">
        <f>SUM(E169:E171)</f>
        <v>19734.760000000002</v>
      </c>
    </row>
    <row r="168" ht="15.75">
      <c r="A168" s="254" t="s">
        <v>947</v>
      </c>
    </row>
    <row r="169" spans="1:5" ht="15.75">
      <c r="A169" s="254" t="s">
        <v>948</v>
      </c>
      <c r="C169" s="234">
        <v>48503.81</v>
      </c>
      <c r="E169" s="234">
        <v>19642.06</v>
      </c>
    </row>
    <row r="170" spans="1:5" ht="15.75" hidden="1">
      <c r="A170" s="254" t="s">
        <v>949</v>
      </c>
      <c r="C170" s="234">
        <v>99.8</v>
      </c>
      <c r="E170" s="234">
        <v>0</v>
      </c>
    </row>
    <row r="171" spans="1:5" ht="15.75">
      <c r="A171" s="254" t="s">
        <v>928</v>
      </c>
      <c r="C171" s="234"/>
      <c r="E171" s="234">
        <v>92.7</v>
      </c>
    </row>
    <row r="172" ht="15.75">
      <c r="A172" s="233"/>
    </row>
    <row r="173" spans="1:5" ht="15.75">
      <c r="A173" s="261" t="s">
        <v>163</v>
      </c>
      <c r="C173" s="262">
        <v>151931.99</v>
      </c>
      <c r="E173" s="262">
        <f>SUM(E174:E180)</f>
        <v>99659.02</v>
      </c>
    </row>
    <row r="174" spans="1:5" ht="15.75">
      <c r="A174" s="254" t="s">
        <v>950</v>
      </c>
      <c r="C174" s="234">
        <v>134368.34</v>
      </c>
      <c r="E174" s="234">
        <v>87424.45</v>
      </c>
    </row>
    <row r="175" spans="1:5" ht="15.75">
      <c r="A175" s="254" t="s">
        <v>949</v>
      </c>
      <c r="C175" s="234">
        <v>2241.09</v>
      </c>
      <c r="E175" s="234">
        <v>5463.81</v>
      </c>
    </row>
    <row r="176" spans="1:5" ht="15.75">
      <c r="A176" s="254" t="s">
        <v>928</v>
      </c>
      <c r="C176" s="234">
        <v>2584.43</v>
      </c>
      <c r="E176" s="234">
        <v>265.7</v>
      </c>
    </row>
    <row r="177" spans="1:5" ht="15.75">
      <c r="A177" s="254" t="s">
        <v>951</v>
      </c>
      <c r="C177" s="234">
        <v>8229.16</v>
      </c>
      <c r="E177" s="234">
        <v>3867.71</v>
      </c>
    </row>
    <row r="178" spans="1:5" ht="15.75" hidden="1">
      <c r="A178" s="254" t="s">
        <v>945</v>
      </c>
      <c r="C178" s="234"/>
      <c r="E178" s="234">
        <v>0</v>
      </c>
    </row>
    <row r="179" spans="1:5" ht="15.75">
      <c r="A179" s="254" t="s">
        <v>952</v>
      </c>
      <c r="C179" s="234">
        <v>2997.56</v>
      </c>
      <c r="E179" s="234">
        <v>2059.94</v>
      </c>
    </row>
    <row r="180" spans="1:5" ht="15.75">
      <c r="A180" s="254" t="s">
        <v>931</v>
      </c>
      <c r="C180" s="234">
        <v>1511.41</v>
      </c>
      <c r="E180" s="234">
        <v>577.41</v>
      </c>
    </row>
    <row r="181" ht="15.75">
      <c r="A181" s="233"/>
    </row>
    <row r="182" spans="1:5" ht="15.75">
      <c r="A182" s="261" t="s">
        <v>164</v>
      </c>
      <c r="C182" s="262">
        <v>151931.99</v>
      </c>
      <c r="E182" s="262">
        <f>SUM(E183:E189)</f>
        <v>12034.08</v>
      </c>
    </row>
    <row r="183" spans="1:5" ht="15.75">
      <c r="A183" s="254" t="s">
        <v>950</v>
      </c>
      <c r="C183" s="234">
        <v>134368.34</v>
      </c>
      <c r="E183" s="234">
        <v>11718.1</v>
      </c>
    </row>
    <row r="184" spans="1:5" ht="15.75" hidden="1">
      <c r="A184" s="254" t="s">
        <v>949</v>
      </c>
      <c r="C184" s="234">
        <v>2241.09</v>
      </c>
      <c r="E184" s="234"/>
    </row>
    <row r="185" spans="1:5" ht="15.75">
      <c r="A185" s="254" t="s">
        <v>928</v>
      </c>
      <c r="C185" s="234">
        <v>2584.43</v>
      </c>
      <c r="E185" s="234">
        <v>315.98</v>
      </c>
    </row>
    <row r="186" spans="1:5" ht="15.75" hidden="1">
      <c r="A186" s="254" t="s">
        <v>951</v>
      </c>
      <c r="C186" s="234">
        <v>8229.16</v>
      </c>
      <c r="E186" s="234"/>
    </row>
    <row r="187" spans="1:5" ht="15.75" hidden="1">
      <c r="A187" s="254" t="s">
        <v>945</v>
      </c>
      <c r="C187" s="234"/>
      <c r="E187" s="234"/>
    </row>
    <row r="188" spans="1:5" ht="15.75" hidden="1">
      <c r="A188" s="254" t="s">
        <v>952</v>
      </c>
      <c r="C188" s="234">
        <v>2997.56</v>
      </c>
      <c r="E188" s="234"/>
    </row>
    <row r="189" spans="1:5" ht="15.75" hidden="1">
      <c r="A189" s="254" t="s">
        <v>931</v>
      </c>
      <c r="C189" s="234">
        <v>1511.41</v>
      </c>
      <c r="E189" s="234"/>
    </row>
    <row r="190" ht="15.75">
      <c r="A190" s="233"/>
    </row>
    <row r="191" spans="1:5" ht="15.75">
      <c r="A191" s="248" t="s">
        <v>854</v>
      </c>
      <c r="C191" s="250">
        <v>836974.1</v>
      </c>
      <c r="E191" s="250">
        <f>E193+E203</f>
        <v>368916.79</v>
      </c>
    </row>
    <row r="192" ht="15.75">
      <c r="A192" s="233"/>
    </row>
    <row r="193" spans="1:5" ht="15.75">
      <c r="A193" s="261" t="s">
        <v>165</v>
      </c>
      <c r="C193" s="262">
        <v>564222.18</v>
      </c>
      <c r="E193" s="262">
        <f>SUM(E194:E201)</f>
        <v>316420.70999999996</v>
      </c>
    </row>
    <row r="194" spans="1:5" ht="15.75">
      <c r="A194" s="254" t="s">
        <v>950</v>
      </c>
      <c r="C194" s="234">
        <v>463573.95</v>
      </c>
      <c r="E194" s="234">
        <v>279034.07</v>
      </c>
    </row>
    <row r="195" spans="1:5" ht="15.75">
      <c r="A195" s="254" t="s">
        <v>949</v>
      </c>
      <c r="C195" s="234">
        <v>13065.92</v>
      </c>
      <c r="E195" s="234">
        <v>6605.07</v>
      </c>
    </row>
    <row r="196" spans="1:5" ht="15.75">
      <c r="A196" s="254" t="s">
        <v>953</v>
      </c>
      <c r="C196" s="234">
        <v>3509.93</v>
      </c>
      <c r="E196" s="234">
        <v>1432.42</v>
      </c>
    </row>
    <row r="197" spans="1:5" ht="15.75">
      <c r="A197" s="254" t="s">
        <v>954</v>
      </c>
      <c r="C197" s="234">
        <v>39115.74</v>
      </c>
      <c r="E197" s="234">
        <v>23496.62</v>
      </c>
    </row>
    <row r="198" spans="1:5" ht="15.75">
      <c r="A198" s="254" t="s">
        <v>955</v>
      </c>
      <c r="C198" s="234">
        <v>7787.14</v>
      </c>
      <c r="E198" s="234">
        <v>4259.68</v>
      </c>
    </row>
    <row r="199" spans="1:5" ht="15.75">
      <c r="A199" s="254" t="s">
        <v>945</v>
      </c>
      <c r="E199" s="234">
        <v>0</v>
      </c>
    </row>
    <row r="200" spans="1:5" ht="15.75">
      <c r="A200" s="254" t="s">
        <v>931</v>
      </c>
      <c r="C200" s="234">
        <v>528.59</v>
      </c>
      <c r="E200" s="234">
        <v>1323.05</v>
      </c>
    </row>
    <row r="201" spans="1:5" ht="15.75">
      <c r="A201" s="255" t="s">
        <v>1055</v>
      </c>
      <c r="C201" s="234"/>
      <c r="E201" s="234">
        <v>269.8</v>
      </c>
    </row>
    <row r="202" ht="15.75">
      <c r="A202" s="261"/>
    </row>
    <row r="203" spans="1:5" ht="15.75">
      <c r="A203" s="261" t="s">
        <v>166</v>
      </c>
      <c r="C203" s="262">
        <v>76760</v>
      </c>
      <c r="E203" s="262">
        <f>SUM(E204)</f>
        <v>52496.08</v>
      </c>
    </row>
    <row r="204" spans="1:5" ht="31.5">
      <c r="A204" s="254" t="s">
        <v>956</v>
      </c>
      <c r="E204" s="234">
        <v>52496.08</v>
      </c>
    </row>
    <row r="205" ht="15.75">
      <c r="A205" s="233"/>
    </row>
    <row r="206" spans="1:5" ht="15.75">
      <c r="A206" s="248" t="s">
        <v>957</v>
      </c>
      <c r="C206" s="250">
        <v>1428753.13</v>
      </c>
      <c r="E206" s="250">
        <f>SUM(E208:E218)</f>
        <v>8338691.160000001</v>
      </c>
    </row>
    <row r="207" ht="15.75">
      <c r="A207" s="233"/>
    </row>
    <row r="208" ht="31.5">
      <c r="A208" s="233" t="s">
        <v>508</v>
      </c>
    </row>
    <row r="209" spans="1:5" ht="15.75">
      <c r="A209" s="233" t="s">
        <v>958</v>
      </c>
      <c r="C209" s="234">
        <v>1188907.01</v>
      </c>
      <c r="E209" s="234">
        <v>663114.92</v>
      </c>
    </row>
    <row r="210" spans="1:5" ht="15.75">
      <c r="A210" s="254" t="s">
        <v>959</v>
      </c>
      <c r="C210" s="234">
        <v>14573.81</v>
      </c>
      <c r="E210" s="234">
        <v>7666.08</v>
      </c>
    </row>
    <row r="211" spans="1:5" ht="15.75">
      <c r="A211" s="254" t="s">
        <v>928</v>
      </c>
      <c r="C211" s="234">
        <v>2317.42</v>
      </c>
      <c r="E211" s="234">
        <v>421.62</v>
      </c>
    </row>
    <row r="212" ht="15.75">
      <c r="A212" s="254" t="s">
        <v>960</v>
      </c>
    </row>
    <row r="213" spans="1:5" ht="15.75">
      <c r="A213" s="254" t="s">
        <v>961</v>
      </c>
      <c r="C213" s="234">
        <v>8833.97</v>
      </c>
      <c r="E213" s="234">
        <v>3910.68</v>
      </c>
    </row>
    <row r="214" spans="1:5" ht="15.75">
      <c r="A214" s="255" t="s">
        <v>509</v>
      </c>
      <c r="C214" s="234">
        <v>4808.36</v>
      </c>
      <c r="E214" s="234">
        <v>829.17</v>
      </c>
    </row>
    <row r="215" spans="1:5" ht="15.75">
      <c r="A215" s="255" t="s">
        <v>1054</v>
      </c>
      <c r="C215" s="234"/>
      <c r="E215" s="234">
        <v>940.63</v>
      </c>
    </row>
    <row r="216" spans="1:5" ht="15.75">
      <c r="A216" s="254" t="s">
        <v>931</v>
      </c>
      <c r="C216" s="234">
        <v>4808.36</v>
      </c>
      <c r="E216" s="234">
        <v>1734.51</v>
      </c>
    </row>
    <row r="217" spans="1:5" ht="15.75">
      <c r="A217" s="255" t="s">
        <v>1055</v>
      </c>
      <c r="C217" s="234"/>
      <c r="E217" s="234">
        <v>601</v>
      </c>
    </row>
    <row r="218" spans="1:5" ht="15.75">
      <c r="A218" s="255" t="s">
        <v>962</v>
      </c>
      <c r="C218" s="234">
        <v>4808.36</v>
      </c>
      <c r="E218" s="234">
        <f>4721575.08+2937897.47</f>
        <v>7659472.550000001</v>
      </c>
    </row>
    <row r="219" spans="1:5" ht="15.75">
      <c r="A219" s="254"/>
      <c r="C219" s="234"/>
      <c r="E219" s="234"/>
    </row>
    <row r="220" spans="1:5" ht="15.75">
      <c r="A220" s="248" t="s">
        <v>293</v>
      </c>
      <c r="C220" s="250">
        <v>296073.41</v>
      </c>
      <c r="E220" s="250">
        <f>SUM(E222:E223)</f>
        <v>225555.82</v>
      </c>
    </row>
    <row r="221" ht="15.75">
      <c r="A221" s="263"/>
    </row>
    <row r="222" spans="1:5" ht="15.75">
      <c r="A222" s="254" t="s">
        <v>963</v>
      </c>
      <c r="C222" s="234">
        <v>18097.58</v>
      </c>
      <c r="E222" s="234">
        <v>18273.82</v>
      </c>
    </row>
    <row r="223" spans="1:5" ht="31.5">
      <c r="A223" s="255" t="s">
        <v>964</v>
      </c>
      <c r="E223" s="234">
        <v>207282</v>
      </c>
    </row>
    <row r="224" ht="15.75">
      <c r="A224" s="248"/>
    </row>
    <row r="225" spans="1:5" ht="31.5">
      <c r="A225" s="248" t="s">
        <v>294</v>
      </c>
      <c r="C225" s="250">
        <v>155349.94</v>
      </c>
      <c r="E225" s="250">
        <f>SUM(E227:E236)</f>
        <v>88037.24999999999</v>
      </c>
    </row>
    <row r="226" ht="15.75">
      <c r="A226" s="233"/>
    </row>
    <row r="227" ht="31.5">
      <c r="A227" s="233" t="s">
        <v>965</v>
      </c>
    </row>
    <row r="228" ht="15.75">
      <c r="A228" s="233" t="s">
        <v>966</v>
      </c>
    </row>
    <row r="229" ht="15.75">
      <c r="A229" s="254" t="s">
        <v>967</v>
      </c>
    </row>
    <row r="230" spans="1:5" ht="15.75">
      <c r="A230" s="254" t="s">
        <v>968</v>
      </c>
      <c r="C230" s="234">
        <v>128300.47</v>
      </c>
      <c r="E230" s="234">
        <v>79744.92</v>
      </c>
    </row>
    <row r="231" ht="15.75">
      <c r="A231" s="254" t="s">
        <v>969</v>
      </c>
    </row>
    <row r="232" spans="1:5" ht="15.75">
      <c r="A232" s="254" t="s">
        <v>342</v>
      </c>
      <c r="C232" s="234">
        <v>7423.24</v>
      </c>
      <c r="E232" s="234">
        <v>2690.43</v>
      </c>
    </row>
    <row r="233" spans="1:5" ht="15.75">
      <c r="A233" s="254" t="s">
        <v>970</v>
      </c>
      <c r="C233" s="234">
        <v>2232.6</v>
      </c>
      <c r="E233" s="234">
        <v>1427.4</v>
      </c>
    </row>
    <row r="234" spans="1:5" ht="31.5">
      <c r="A234" s="255" t="s">
        <v>971</v>
      </c>
      <c r="E234" s="234">
        <v>3998.41</v>
      </c>
    </row>
    <row r="235" spans="1:5" ht="15.75">
      <c r="A235" s="254" t="s">
        <v>931</v>
      </c>
      <c r="C235" s="234">
        <v>917.37</v>
      </c>
      <c r="E235" s="234">
        <v>176.09</v>
      </c>
    </row>
    <row r="236" spans="1:5" ht="15.75">
      <c r="A236" s="254"/>
      <c r="C236" s="234"/>
      <c r="E236" s="234"/>
    </row>
    <row r="237" spans="1:5" ht="15.75">
      <c r="A237" s="248" t="s">
        <v>972</v>
      </c>
      <c r="C237" s="250">
        <v>22686.03</v>
      </c>
      <c r="E237" s="250">
        <f>SUM(E239:E240)</f>
        <v>10337.5</v>
      </c>
    </row>
    <row r="238" ht="15.75">
      <c r="A238" s="233"/>
    </row>
    <row r="239" spans="1:5" ht="15.75">
      <c r="A239" s="254" t="s">
        <v>973</v>
      </c>
      <c r="C239" s="234">
        <v>16319.5</v>
      </c>
      <c r="E239" s="234">
        <v>9587.5</v>
      </c>
    </row>
    <row r="240" spans="1:5" ht="15.75">
      <c r="A240" s="255" t="s">
        <v>510</v>
      </c>
      <c r="C240" s="234">
        <v>16319.5</v>
      </c>
      <c r="E240" s="234">
        <v>750</v>
      </c>
    </row>
    <row r="241" ht="15.75">
      <c r="A241" s="233"/>
    </row>
    <row r="242" spans="1:5" ht="15.75">
      <c r="A242" s="248" t="s">
        <v>974</v>
      </c>
      <c r="C242" s="250">
        <v>27282</v>
      </c>
      <c r="E242" s="250">
        <f>SUM(E244:E244)</f>
        <v>28136.75</v>
      </c>
    </row>
    <row r="243" ht="15.75">
      <c r="A243" s="233"/>
    </row>
    <row r="244" spans="1:5" ht="31.5">
      <c r="A244" s="255" t="s">
        <v>975</v>
      </c>
      <c r="E244" s="234">
        <v>28136.75</v>
      </c>
    </row>
    <row r="245" spans="1:5" ht="15.75">
      <c r="A245" s="255"/>
      <c r="E245" s="234"/>
    </row>
    <row r="246" spans="1:5" ht="15.75">
      <c r="A246" s="252" t="s">
        <v>976</v>
      </c>
      <c r="C246" s="253">
        <v>67800</v>
      </c>
      <c r="E246" s="253">
        <f>SUM(E249:E260)</f>
        <v>44197.159999999996</v>
      </c>
    </row>
    <row r="247" ht="15.75">
      <c r="A247" s="233"/>
    </row>
    <row r="248" spans="1:5" ht="15.75">
      <c r="A248" s="233" t="s">
        <v>343</v>
      </c>
      <c r="E248" s="234"/>
    </row>
    <row r="249" spans="1:5" ht="31.5" hidden="1">
      <c r="A249" s="385" t="s">
        <v>325</v>
      </c>
      <c r="E249" s="234"/>
    </row>
    <row r="250" spans="1:5" ht="15.75">
      <c r="A250" s="256" t="s">
        <v>977</v>
      </c>
      <c r="E250" s="234">
        <v>5100</v>
      </c>
    </row>
    <row r="251" spans="1:5" ht="31.5">
      <c r="A251" s="256" t="s">
        <v>418</v>
      </c>
      <c r="E251" s="234">
        <v>1800</v>
      </c>
    </row>
    <row r="252" spans="1:5" ht="31.5">
      <c r="A252" s="256" t="s">
        <v>168</v>
      </c>
      <c r="E252" s="234">
        <v>4187.62</v>
      </c>
    </row>
    <row r="253" spans="1:5" ht="15.75">
      <c r="A253" s="256" t="s">
        <v>169</v>
      </c>
      <c r="E253" s="234">
        <v>2656.02</v>
      </c>
    </row>
    <row r="254" spans="1:5" ht="15.75">
      <c r="A254" s="256" t="s">
        <v>167</v>
      </c>
      <c r="E254" s="234">
        <v>624.15</v>
      </c>
    </row>
    <row r="255" spans="1:5" ht="15.75">
      <c r="A255" s="256" t="s">
        <v>170</v>
      </c>
      <c r="E255" s="234">
        <v>524.6</v>
      </c>
    </row>
    <row r="256" spans="1:5" ht="15.75">
      <c r="A256" s="256" t="s">
        <v>171</v>
      </c>
      <c r="E256" s="234">
        <v>4063.69</v>
      </c>
    </row>
    <row r="257" spans="1:5" ht="15.75">
      <c r="A257" s="256" t="s">
        <v>172</v>
      </c>
      <c r="E257" s="234">
        <v>2020</v>
      </c>
    </row>
    <row r="258" spans="1:5" ht="15.75">
      <c r="A258" s="256" t="s">
        <v>419</v>
      </c>
      <c r="E258" s="234"/>
    </row>
    <row r="259" spans="1:5" ht="15.75">
      <c r="A259" s="256" t="s">
        <v>173</v>
      </c>
      <c r="E259" s="234">
        <v>16269.65</v>
      </c>
    </row>
    <row r="260" spans="1:5" ht="15.75">
      <c r="A260" s="256" t="s">
        <v>174</v>
      </c>
      <c r="E260" s="234">
        <v>6951.43</v>
      </c>
    </row>
    <row r="262" spans="1:5" ht="15.75">
      <c r="A262" s="276" t="s">
        <v>978</v>
      </c>
      <c r="C262" s="253">
        <v>1545049.14</v>
      </c>
      <c r="E262" s="253">
        <f>E264+E287+E293+E303+E306+E322</f>
        <v>1142963.83</v>
      </c>
    </row>
    <row r="263" ht="15.75">
      <c r="A263" s="233"/>
    </row>
    <row r="264" spans="1:5" ht="15.75">
      <c r="A264" s="233" t="s">
        <v>979</v>
      </c>
      <c r="C264" s="234">
        <v>640921.78</v>
      </c>
      <c r="E264" s="250">
        <f>SUM(E266:E285)</f>
        <v>741542.67</v>
      </c>
    </row>
    <row r="265" ht="15.75">
      <c r="A265" s="233" t="s">
        <v>895</v>
      </c>
    </row>
    <row r="266" spans="1:5" ht="15.75">
      <c r="A266" s="255" t="s">
        <v>175</v>
      </c>
      <c r="C266" s="234">
        <v>155804</v>
      </c>
      <c r="E266" s="234">
        <v>244143</v>
      </c>
    </row>
    <row r="267" ht="15.75">
      <c r="A267" s="255" t="s">
        <v>980</v>
      </c>
    </row>
    <row r="268" spans="1:5" ht="15.75">
      <c r="A268" s="264" t="s">
        <v>176</v>
      </c>
      <c r="C268" s="234">
        <v>6000</v>
      </c>
      <c r="E268" s="234">
        <v>30000</v>
      </c>
    </row>
    <row r="269" spans="1:5" ht="31.5">
      <c r="A269" s="264" t="s">
        <v>177</v>
      </c>
      <c r="E269" s="234">
        <v>76911.81</v>
      </c>
    </row>
    <row r="270" spans="1:5" ht="47.25">
      <c r="A270" s="264" t="s">
        <v>178</v>
      </c>
      <c r="E270" s="234">
        <v>0</v>
      </c>
    </row>
    <row r="271" spans="1:5" ht="31.5">
      <c r="A271" s="264" t="s">
        <v>179</v>
      </c>
      <c r="C271" s="250">
        <v>214038</v>
      </c>
      <c r="E271" s="234">
        <v>12750</v>
      </c>
    </row>
    <row r="272" spans="1:5" ht="31.5">
      <c r="A272" s="264" t="s">
        <v>180</v>
      </c>
      <c r="C272" s="250">
        <v>214038</v>
      </c>
      <c r="E272" s="234">
        <v>41560</v>
      </c>
    </row>
    <row r="273" spans="1:5" ht="31.5">
      <c r="A273" s="264" t="s">
        <v>181</v>
      </c>
      <c r="E273" s="234">
        <v>1150</v>
      </c>
    </row>
    <row r="274" spans="1:5" ht="31.5">
      <c r="A274" s="264" t="s">
        <v>182</v>
      </c>
      <c r="E274" s="234">
        <v>12110</v>
      </c>
    </row>
    <row r="275" spans="1:5" ht="15.75">
      <c r="A275" s="256" t="s">
        <v>183</v>
      </c>
      <c r="E275" s="234">
        <v>180</v>
      </c>
    </row>
    <row r="276" spans="1:5" ht="31.5">
      <c r="A276" s="264" t="s">
        <v>184</v>
      </c>
      <c r="E276" s="234">
        <v>2880</v>
      </c>
    </row>
    <row r="277" spans="1:5" ht="31.5">
      <c r="A277" s="264" t="s">
        <v>845</v>
      </c>
      <c r="E277" s="234">
        <v>37360</v>
      </c>
    </row>
    <row r="278" spans="1:5" ht="15.75">
      <c r="A278" s="256" t="s">
        <v>846</v>
      </c>
      <c r="E278" s="234">
        <v>51350</v>
      </c>
    </row>
    <row r="279" spans="1:11" s="277" customFormat="1" ht="15.75">
      <c r="A279" s="255" t="s">
        <v>981</v>
      </c>
      <c r="B279" s="246"/>
      <c r="C279" s="250">
        <v>11053.88</v>
      </c>
      <c r="D279" s="246"/>
      <c r="E279" s="234">
        <v>7375.33</v>
      </c>
      <c r="F279" s="234"/>
      <c r="G279" s="278"/>
      <c r="H279" s="278"/>
      <c r="I279" s="278"/>
      <c r="J279" s="278"/>
      <c r="K279" s="278"/>
    </row>
    <row r="280" spans="1:5" ht="15.75">
      <c r="A280" s="255" t="s">
        <v>847</v>
      </c>
      <c r="C280" s="234">
        <v>28800</v>
      </c>
      <c r="E280" s="234">
        <v>69264</v>
      </c>
    </row>
    <row r="281" spans="1:5" ht="15.75">
      <c r="A281" s="260" t="s">
        <v>848</v>
      </c>
      <c r="C281" s="250">
        <v>41972</v>
      </c>
      <c r="E281" s="234">
        <v>26460</v>
      </c>
    </row>
    <row r="282" spans="1:5" ht="15.75">
      <c r="A282" s="260" t="s">
        <v>850</v>
      </c>
      <c r="C282" s="250"/>
      <c r="E282" s="234">
        <v>47000</v>
      </c>
    </row>
    <row r="283" spans="1:5" ht="15.75">
      <c r="A283" s="260" t="s">
        <v>849</v>
      </c>
      <c r="C283" s="250">
        <v>41972</v>
      </c>
      <c r="E283" s="234">
        <v>58932.29</v>
      </c>
    </row>
    <row r="284" spans="1:5" ht="31.5">
      <c r="A284" s="260" t="s">
        <v>1023</v>
      </c>
      <c r="E284" s="234">
        <v>19921.74</v>
      </c>
    </row>
    <row r="285" spans="1:5" ht="15.75">
      <c r="A285" s="255" t="s">
        <v>982</v>
      </c>
      <c r="C285" s="250"/>
      <c r="E285" s="234">
        <v>2194.5</v>
      </c>
    </row>
    <row r="286" spans="1:5" ht="15.75">
      <c r="A286" s="255"/>
      <c r="C286" s="250"/>
      <c r="E286" s="234"/>
    </row>
    <row r="287" spans="1:5" ht="15.75">
      <c r="A287" s="248" t="s">
        <v>420</v>
      </c>
      <c r="C287" s="250"/>
      <c r="E287" s="250">
        <f>SUM(E289:E291)</f>
        <v>38022.98</v>
      </c>
    </row>
    <row r="288" spans="1:5" ht="15.75">
      <c r="A288" s="577" t="s">
        <v>855</v>
      </c>
      <c r="B288" s="577"/>
      <c r="C288" s="577"/>
      <c r="D288" s="577"/>
      <c r="E288" s="577"/>
    </row>
    <row r="289" spans="1:5" ht="15.75">
      <c r="A289" s="255" t="s">
        <v>856</v>
      </c>
      <c r="C289" s="234">
        <v>15838.49</v>
      </c>
      <c r="E289" s="234">
        <v>13815.61</v>
      </c>
    </row>
    <row r="290" spans="1:5" ht="15.75">
      <c r="A290" s="255" t="s">
        <v>857</v>
      </c>
      <c r="C290" s="234">
        <v>12877</v>
      </c>
      <c r="E290" s="234">
        <v>23122.33</v>
      </c>
    </row>
    <row r="291" spans="1:5" ht="15.75">
      <c r="A291" s="255" t="s">
        <v>858</v>
      </c>
      <c r="C291" s="234">
        <v>2234.55</v>
      </c>
      <c r="E291" s="234">
        <v>1085.04</v>
      </c>
    </row>
    <row r="292" ht="15.75">
      <c r="A292" s="233"/>
    </row>
    <row r="293" spans="1:5" ht="15.75">
      <c r="A293" s="248" t="s">
        <v>323</v>
      </c>
      <c r="C293" s="234">
        <v>211050</v>
      </c>
      <c r="E293" s="250">
        <f>SUM(E295:E301)</f>
        <v>54455.38</v>
      </c>
    </row>
    <row r="294" ht="15.75">
      <c r="A294" s="233" t="s">
        <v>859</v>
      </c>
    </row>
    <row r="295" spans="1:5" ht="15.75">
      <c r="A295" s="254" t="s">
        <v>983</v>
      </c>
      <c r="C295" s="234">
        <v>21197.25</v>
      </c>
      <c r="E295" s="234">
        <v>7709.08</v>
      </c>
    </row>
    <row r="296" spans="1:5" ht="15.75">
      <c r="A296" s="255" t="s">
        <v>984</v>
      </c>
      <c r="C296" s="234"/>
      <c r="E296" s="234">
        <v>2440</v>
      </c>
    </row>
    <row r="297" spans="1:5" ht="15.75">
      <c r="A297" s="255" t="s">
        <v>985</v>
      </c>
      <c r="C297" s="234">
        <v>45677.02</v>
      </c>
      <c r="E297" s="234">
        <v>12348.98</v>
      </c>
    </row>
    <row r="298" spans="1:5" ht="15.75">
      <c r="A298" s="255" t="s">
        <v>986</v>
      </c>
      <c r="C298" s="234">
        <v>45677.02</v>
      </c>
      <c r="E298" s="234">
        <v>7539.94</v>
      </c>
    </row>
    <row r="299" spans="1:5" ht="15.75">
      <c r="A299" s="255" t="s">
        <v>987</v>
      </c>
      <c r="C299" s="234">
        <v>21197.25</v>
      </c>
      <c r="E299" s="234">
        <v>5994.51</v>
      </c>
    </row>
    <row r="300" spans="1:5" ht="15.75">
      <c r="A300" s="255" t="s">
        <v>988</v>
      </c>
      <c r="C300" s="234"/>
      <c r="E300" s="234">
        <v>9415.97</v>
      </c>
    </row>
    <row r="301" spans="1:5" ht="31.5">
      <c r="A301" s="265" t="s">
        <v>989</v>
      </c>
      <c r="C301" s="234">
        <v>44543.76</v>
      </c>
      <c r="E301" s="234">
        <v>9006.9</v>
      </c>
    </row>
    <row r="302" ht="15.75">
      <c r="A302" s="248"/>
    </row>
    <row r="303" spans="1:5" ht="15.75">
      <c r="A303" s="248" t="s">
        <v>322</v>
      </c>
      <c r="C303" s="250">
        <v>251139</v>
      </c>
      <c r="E303" s="250">
        <f>E304</f>
        <v>89004.73</v>
      </c>
    </row>
    <row r="304" spans="1:5" ht="15.75">
      <c r="A304" s="254" t="s">
        <v>860</v>
      </c>
      <c r="E304" s="234">
        <v>89004.73</v>
      </c>
    </row>
    <row r="305" ht="15.75">
      <c r="A305" s="248"/>
    </row>
    <row r="306" spans="1:5" ht="31.5">
      <c r="A306" s="248" t="s">
        <v>861</v>
      </c>
      <c r="C306" s="250">
        <v>156096.3</v>
      </c>
      <c r="E306" s="250">
        <f>SUM(E307:E320)</f>
        <v>188565.11</v>
      </c>
    </row>
    <row r="307" spans="1:5" ht="15.75">
      <c r="A307" s="254" t="s">
        <v>990</v>
      </c>
      <c r="C307" s="234">
        <v>204.17</v>
      </c>
      <c r="E307" s="234">
        <v>484.37</v>
      </c>
    </row>
    <row r="308" spans="1:5" ht="15.75">
      <c r="A308" s="254" t="s">
        <v>991</v>
      </c>
      <c r="C308" s="234">
        <v>86127.19</v>
      </c>
      <c r="E308" s="234">
        <v>115844.85</v>
      </c>
    </row>
    <row r="309" spans="1:5" ht="15.75">
      <c r="A309" s="254" t="s">
        <v>992</v>
      </c>
      <c r="C309" s="234">
        <v>13390</v>
      </c>
      <c r="E309" s="234">
        <v>16780.72</v>
      </c>
    </row>
    <row r="310" spans="1:5" ht="15.75">
      <c r="A310" s="254" t="s">
        <v>993</v>
      </c>
      <c r="C310" s="234">
        <v>18645.74</v>
      </c>
      <c r="E310" s="234">
        <v>23133.43</v>
      </c>
    </row>
    <row r="311" spans="1:5" ht="15.75">
      <c r="A311" s="254" t="s">
        <v>994</v>
      </c>
      <c r="C311" s="234">
        <v>2504.04</v>
      </c>
      <c r="E311" s="234">
        <v>3122.42</v>
      </c>
    </row>
    <row r="312" spans="1:5" ht="15.75">
      <c r="A312" s="255" t="s">
        <v>995</v>
      </c>
      <c r="C312" s="234">
        <v>9350.43</v>
      </c>
      <c r="E312" s="234">
        <v>2640</v>
      </c>
    </row>
    <row r="313" spans="1:5" ht="15.75">
      <c r="A313" s="254" t="s">
        <v>996</v>
      </c>
      <c r="C313" s="234">
        <v>9350.43</v>
      </c>
      <c r="E313" s="234">
        <v>995.09</v>
      </c>
    </row>
    <row r="314" spans="1:5" ht="15.75">
      <c r="A314" s="254" t="s">
        <v>997</v>
      </c>
      <c r="C314" s="234">
        <v>2991.71</v>
      </c>
      <c r="E314" s="234">
        <v>3129.96</v>
      </c>
    </row>
    <row r="315" spans="1:5" ht="15.75">
      <c r="A315" s="254" t="s">
        <v>998</v>
      </c>
      <c r="C315" s="234">
        <v>14960.33</v>
      </c>
      <c r="E315" s="595">
        <v>13052.33</v>
      </c>
    </row>
    <row r="316" spans="1:5" ht="31.5">
      <c r="A316" s="264" t="s">
        <v>862</v>
      </c>
      <c r="E316" s="595"/>
    </row>
    <row r="317" spans="1:5" ht="15.75">
      <c r="A317" s="254" t="s">
        <v>999</v>
      </c>
      <c r="C317" s="234">
        <v>649.6</v>
      </c>
      <c r="E317" s="234">
        <v>303.78</v>
      </c>
    </row>
    <row r="318" spans="1:5" ht="15.75">
      <c r="A318" s="255" t="s">
        <v>1000</v>
      </c>
      <c r="C318" s="234"/>
      <c r="E318" s="234">
        <v>0</v>
      </c>
    </row>
    <row r="319" spans="1:5" ht="15.75">
      <c r="A319" s="254" t="s">
        <v>1001</v>
      </c>
      <c r="C319" s="234">
        <v>5273.09</v>
      </c>
      <c r="E319" s="234">
        <v>3528.16</v>
      </c>
    </row>
    <row r="320" spans="1:5" ht="15.75">
      <c r="A320" s="254" t="s">
        <v>1002</v>
      </c>
      <c r="C320" s="234">
        <v>2000</v>
      </c>
      <c r="E320" s="234">
        <v>5550</v>
      </c>
    </row>
    <row r="321" ht="15.75">
      <c r="A321" s="233"/>
    </row>
    <row r="322" spans="1:5" ht="15.75">
      <c r="A322" s="248" t="s">
        <v>864</v>
      </c>
      <c r="C322" s="250">
        <v>9128.15</v>
      </c>
      <c r="E322" s="250">
        <f>E325+E326</f>
        <v>31372.96</v>
      </c>
    </row>
    <row r="323" spans="1:5" ht="15.75">
      <c r="A323" s="248" t="s">
        <v>1003</v>
      </c>
      <c r="C323" s="250"/>
      <c r="E323" s="250"/>
    </row>
    <row r="324" spans="1:5" ht="15.75">
      <c r="A324" s="233" t="s">
        <v>863</v>
      </c>
      <c r="C324" s="250"/>
      <c r="E324" s="250"/>
    </row>
    <row r="325" spans="1:5" ht="15.75">
      <c r="A325" s="255" t="s">
        <v>1004</v>
      </c>
      <c r="E325" s="234">
        <v>13915.96</v>
      </c>
    </row>
    <row r="326" spans="1:5" ht="15.75">
      <c r="A326" s="255" t="s">
        <v>1005</v>
      </c>
      <c r="E326" s="234">
        <v>17457</v>
      </c>
    </row>
    <row r="327" spans="1:5" ht="15.75">
      <c r="A327" s="255"/>
      <c r="E327" s="234"/>
    </row>
    <row r="328" spans="1:5" ht="15.75">
      <c r="A328" s="252" t="s">
        <v>344</v>
      </c>
      <c r="C328" s="253">
        <v>456900</v>
      </c>
      <c r="E328" s="253">
        <f>E330+E331</f>
        <v>831.85</v>
      </c>
    </row>
    <row r="329" ht="15.75">
      <c r="A329" s="233" t="s">
        <v>1024</v>
      </c>
    </row>
    <row r="330" spans="1:5" ht="15.75" hidden="1">
      <c r="A330" s="279" t="s">
        <v>1025</v>
      </c>
      <c r="E330" s="234"/>
    </row>
    <row r="331" spans="1:5" ht="15.75">
      <c r="A331" s="279" t="s">
        <v>62</v>
      </c>
      <c r="E331" s="234">
        <v>831.85</v>
      </c>
    </row>
    <row r="332" ht="15.75">
      <c r="A332" s="233"/>
    </row>
    <row r="333" spans="1:5" ht="31.5">
      <c r="A333" s="258" t="s">
        <v>1006</v>
      </c>
      <c r="C333" s="253">
        <v>399581.73</v>
      </c>
      <c r="E333" s="253">
        <f>SUM(E336:E339)</f>
        <v>119583.42</v>
      </c>
    </row>
    <row r="334" spans="1:5" ht="15.75">
      <c r="A334" s="258"/>
      <c r="C334" s="253"/>
      <c r="E334" s="253"/>
    </row>
    <row r="335" ht="20.25" customHeight="1">
      <c r="A335" s="233" t="s">
        <v>895</v>
      </c>
    </row>
    <row r="336" spans="1:5" ht="15.75">
      <c r="A336" s="254" t="s">
        <v>1007</v>
      </c>
      <c r="C336" s="250">
        <v>196591.14</v>
      </c>
      <c r="E336" s="234">
        <v>87911.43</v>
      </c>
    </row>
    <row r="337" spans="1:11" s="257" customFormat="1" ht="15.75">
      <c r="A337" s="255" t="s">
        <v>865</v>
      </c>
      <c r="C337" s="250">
        <v>196591.14</v>
      </c>
      <c r="E337" s="234">
        <v>17724.16</v>
      </c>
      <c r="F337" s="234"/>
      <c r="G337" s="234"/>
      <c r="H337" s="234"/>
      <c r="I337" s="234"/>
      <c r="J337" s="234"/>
      <c r="K337" s="234"/>
    </row>
    <row r="338" spans="1:5" ht="15.75">
      <c r="A338" s="254" t="s">
        <v>1008</v>
      </c>
      <c r="C338" s="234">
        <v>10188.98</v>
      </c>
      <c r="E338" s="234">
        <v>4186.69</v>
      </c>
    </row>
    <row r="339" spans="1:5" ht="15.75">
      <c r="A339" s="254" t="s">
        <v>1009</v>
      </c>
      <c r="C339" s="234">
        <v>3810.89</v>
      </c>
      <c r="E339" s="234">
        <v>9761.14</v>
      </c>
    </row>
    <row r="340" spans="1:5" ht="15.75">
      <c r="A340" s="255"/>
      <c r="C340" s="234"/>
      <c r="E340" s="234"/>
    </row>
    <row r="341" spans="1:5" ht="15.75">
      <c r="A341" s="252" t="s">
        <v>1010</v>
      </c>
      <c r="C341" s="253">
        <v>456900</v>
      </c>
      <c r="E341" s="253">
        <f>SUM(E344:E345)</f>
        <v>241200</v>
      </c>
    </row>
    <row r="342" spans="1:5" ht="15.75">
      <c r="A342" s="252"/>
      <c r="C342" s="253"/>
      <c r="E342" s="253"/>
    </row>
    <row r="343" ht="15.75">
      <c r="A343" s="233" t="s">
        <v>895</v>
      </c>
    </row>
    <row r="344" spans="1:5" ht="15.75">
      <c r="A344" s="254" t="s">
        <v>1011</v>
      </c>
      <c r="C344" s="250">
        <v>176500</v>
      </c>
      <c r="E344" s="234">
        <v>99700</v>
      </c>
    </row>
    <row r="345" spans="1:5" ht="15.75">
      <c r="A345" s="254" t="s">
        <v>1012</v>
      </c>
      <c r="C345" s="250">
        <v>280400</v>
      </c>
      <c r="E345" s="234">
        <v>141500</v>
      </c>
    </row>
    <row r="346" ht="15.75">
      <c r="A346" s="248"/>
    </row>
    <row r="347" spans="1:5" ht="15.75">
      <c r="A347" s="252" t="s">
        <v>1013</v>
      </c>
      <c r="C347" s="253">
        <v>98509.61</v>
      </c>
      <c r="E347" s="253">
        <f>SUM(E350:E357)</f>
        <v>43635.71</v>
      </c>
    </row>
    <row r="348" spans="1:5" ht="15.75">
      <c r="A348" s="252"/>
      <c r="C348" s="253"/>
      <c r="E348" s="253"/>
    </row>
    <row r="349" ht="15.75">
      <c r="A349" s="233" t="s">
        <v>895</v>
      </c>
    </row>
    <row r="350" spans="1:5" ht="31.5" hidden="1">
      <c r="A350" s="255" t="s">
        <v>324</v>
      </c>
      <c r="C350" s="234">
        <v>26525.91</v>
      </c>
      <c r="E350" s="234"/>
    </row>
    <row r="351" spans="1:5" ht="31.5">
      <c r="A351" s="255" t="s">
        <v>443</v>
      </c>
      <c r="C351" s="234">
        <v>26525.91</v>
      </c>
      <c r="E351" s="234">
        <v>14350</v>
      </c>
    </row>
    <row r="352" spans="1:5" ht="15.75">
      <c r="A352" s="254" t="s">
        <v>1014</v>
      </c>
      <c r="C352" s="234">
        <v>4291.18</v>
      </c>
      <c r="E352" s="234">
        <v>6264.28</v>
      </c>
    </row>
    <row r="353" spans="1:5" ht="15.75">
      <c r="A353" s="254" t="s">
        <v>1015</v>
      </c>
      <c r="C353" s="234">
        <v>2037.5</v>
      </c>
      <c r="E353" s="234">
        <v>439</v>
      </c>
    </row>
    <row r="354" spans="1:5" ht="15.75">
      <c r="A354" s="255" t="s">
        <v>1016</v>
      </c>
      <c r="C354" s="234">
        <v>7117.8</v>
      </c>
      <c r="E354" s="234">
        <f>2106.72+392.1</f>
        <v>2498.8199999999997</v>
      </c>
    </row>
    <row r="355" spans="1:5" ht="15.75">
      <c r="A355" s="255" t="s">
        <v>866</v>
      </c>
      <c r="C355" s="234">
        <v>2883.21</v>
      </c>
      <c r="E355" s="234">
        <v>5551.5</v>
      </c>
    </row>
    <row r="356" spans="1:5" ht="15.75">
      <c r="A356" s="254" t="s">
        <v>1017</v>
      </c>
      <c r="C356" s="234">
        <v>43678.61</v>
      </c>
      <c r="E356" s="234">
        <v>6935.25</v>
      </c>
    </row>
    <row r="357" spans="1:5" ht="31.5">
      <c r="A357" s="255" t="s">
        <v>1018</v>
      </c>
      <c r="E357" s="234">
        <f>6521.88+1074.98</f>
        <v>7596.860000000001</v>
      </c>
    </row>
    <row r="358" spans="1:5" ht="15.75">
      <c r="A358" s="235"/>
      <c r="C358" s="250">
        <v>11507.5</v>
      </c>
      <c r="E358" s="246"/>
    </row>
    <row r="359" ht="15.75">
      <c r="A359" s="235"/>
    </row>
    <row r="360" ht="15.75">
      <c r="A360" s="233"/>
    </row>
    <row r="361" ht="15.75">
      <c r="A361" s="266"/>
    </row>
    <row r="362" ht="15.75">
      <c r="A362" s="266"/>
    </row>
    <row r="363" ht="15.75">
      <c r="A363" s="266"/>
    </row>
    <row r="364" ht="15.75">
      <c r="A364" s="266"/>
    </row>
    <row r="365" ht="15.75">
      <c r="A365" s="266"/>
    </row>
    <row r="366" ht="15.75">
      <c r="A366" s="266"/>
    </row>
    <row r="367" ht="15.75">
      <c r="A367" s="266"/>
    </row>
    <row r="368" ht="15.75">
      <c r="A368" s="266"/>
    </row>
    <row r="369" ht="15.75">
      <c r="A369" s="266"/>
    </row>
    <row r="370" ht="15.75">
      <c r="A370" s="266"/>
    </row>
    <row r="371" ht="15.75">
      <c r="A371" s="266"/>
    </row>
    <row r="372" ht="15.75">
      <c r="A372" s="266"/>
    </row>
    <row r="373" ht="15.75">
      <c r="A373" s="266"/>
    </row>
    <row r="374" ht="15.75">
      <c r="A374" s="266"/>
    </row>
    <row r="375" ht="15.75">
      <c r="A375" s="266"/>
    </row>
    <row r="376" ht="15.75">
      <c r="A376" s="266"/>
    </row>
    <row r="377" ht="15.75">
      <c r="A377" s="266"/>
    </row>
    <row r="378" ht="15.75">
      <c r="A378" s="266"/>
    </row>
    <row r="379" ht="15.75">
      <c r="A379" s="266"/>
    </row>
    <row r="380" ht="15.75">
      <c r="A380" s="266"/>
    </row>
    <row r="381" ht="15.75">
      <c r="A381" s="266"/>
    </row>
    <row r="382" spans="1:5" ht="18.75">
      <c r="A382" s="593"/>
      <c r="B382" s="593"/>
      <c r="C382" s="593"/>
      <c r="D382" s="593"/>
      <c r="E382" s="593"/>
    </row>
    <row r="383" spans="1:5" ht="18.75">
      <c r="A383" s="593"/>
      <c r="B383" s="593"/>
      <c r="C383" s="593"/>
      <c r="D383" s="593"/>
      <c r="E383" s="593"/>
    </row>
    <row r="384" spans="1:5" ht="18.75">
      <c r="A384" s="593"/>
      <c r="B384" s="593"/>
      <c r="C384" s="593"/>
      <c r="D384" s="593"/>
      <c r="E384" s="593"/>
    </row>
    <row r="385" ht="15.75">
      <c r="A385" s="233"/>
    </row>
    <row r="386" ht="15.75">
      <c r="A386" s="233"/>
    </row>
    <row r="387" ht="15.75">
      <c r="A387" s="233"/>
    </row>
    <row r="388" spans="1:10" ht="15.75">
      <c r="A388" s="252"/>
      <c r="E388" s="253"/>
      <c r="J388" s="253"/>
    </row>
    <row r="389" spans="1:5" ht="15.75">
      <c r="A389" s="233"/>
      <c r="E389" s="234"/>
    </row>
    <row r="390" spans="1:5" ht="15.75">
      <c r="A390" s="235"/>
      <c r="E390" s="234"/>
    </row>
    <row r="391" spans="1:6" ht="15.75">
      <c r="A391" s="235"/>
      <c r="E391" s="234"/>
      <c r="F391" s="267"/>
    </row>
    <row r="392" spans="1:9" ht="15.75">
      <c r="A392" s="235"/>
      <c r="E392" s="234"/>
      <c r="I392" s="267"/>
    </row>
    <row r="393" spans="1:5" ht="15.75">
      <c r="A393" s="233"/>
      <c r="E393" s="234"/>
    </row>
    <row r="394" spans="1:11" ht="15.75">
      <c r="A394" s="252"/>
      <c r="E394" s="253"/>
      <c r="K394" s="253"/>
    </row>
    <row r="395" spans="1:5" ht="15.75">
      <c r="A395" s="233"/>
      <c r="E395" s="234"/>
    </row>
    <row r="396" spans="1:5" ht="15.75">
      <c r="A396" s="233"/>
      <c r="E396" s="234"/>
    </row>
    <row r="397" spans="1:9" ht="15.75">
      <c r="A397" s="235"/>
      <c r="E397" s="234"/>
      <c r="I397" s="267"/>
    </row>
    <row r="398" spans="1:6" ht="15.75">
      <c r="A398" s="235"/>
      <c r="E398" s="234"/>
      <c r="F398" s="267"/>
    </row>
    <row r="399" spans="1:5" ht="15.75">
      <c r="A399" s="235"/>
      <c r="E399" s="234"/>
    </row>
    <row r="400" spans="1:8" ht="15.75">
      <c r="A400" s="235"/>
      <c r="E400" s="234"/>
      <c r="H400" s="267"/>
    </row>
    <row r="401" spans="1:9" ht="15.75">
      <c r="A401" s="235"/>
      <c r="E401" s="234"/>
      <c r="I401" s="267"/>
    </row>
    <row r="402" spans="1:5" ht="15.75">
      <c r="A402" s="235"/>
      <c r="E402" s="234"/>
    </row>
    <row r="403" spans="1:5" ht="15.75">
      <c r="A403" s="235"/>
      <c r="C403" s="234"/>
      <c r="E403" s="234"/>
    </row>
    <row r="404" ht="15.75">
      <c r="A404" s="235"/>
    </row>
    <row r="405" ht="15.75">
      <c r="A405" s="233"/>
    </row>
    <row r="406" ht="15.75">
      <c r="A406" s="233"/>
    </row>
    <row r="407" ht="15.75">
      <c r="A407" s="233"/>
    </row>
    <row r="408" ht="15.75">
      <c r="A408" s="233"/>
    </row>
    <row r="409" ht="15.75">
      <c r="A409" s="233"/>
    </row>
    <row r="410" ht="15.75">
      <c r="A410" s="233"/>
    </row>
    <row r="411" ht="15.75">
      <c r="A411" s="233"/>
    </row>
    <row r="412" ht="15.75">
      <c r="A412" s="233"/>
    </row>
    <row r="413" ht="15.75">
      <c r="A413" s="233"/>
    </row>
    <row r="414" ht="15.75">
      <c r="A414" s="233"/>
    </row>
    <row r="415" ht="15.75">
      <c r="A415" s="233"/>
    </row>
    <row r="416" ht="15.75">
      <c r="A416" s="233"/>
    </row>
    <row r="417" ht="15.75">
      <c r="A417" s="233"/>
    </row>
    <row r="418" ht="15.75">
      <c r="A418" s="233"/>
    </row>
    <row r="419" ht="15.75">
      <c r="A419" s="233"/>
    </row>
    <row r="420" ht="15.75">
      <c r="A420" s="233"/>
    </row>
    <row r="421" ht="15.75">
      <c r="A421" s="233"/>
    </row>
    <row r="422" ht="15.75">
      <c r="A422" s="233"/>
    </row>
    <row r="423" ht="15.75">
      <c r="A423" s="233"/>
    </row>
    <row r="424" ht="15.75">
      <c r="A424" s="233"/>
    </row>
    <row r="425" ht="15.75">
      <c r="A425" s="233"/>
    </row>
    <row r="426" ht="15.75">
      <c r="A426" s="233"/>
    </row>
    <row r="427" ht="15.75">
      <c r="A427" s="233"/>
    </row>
    <row r="428" ht="15.75">
      <c r="A428" s="233"/>
    </row>
    <row r="429" ht="15.75">
      <c r="A429" s="233"/>
    </row>
    <row r="430" ht="15.75">
      <c r="A430" s="233"/>
    </row>
    <row r="431" ht="15.75">
      <c r="A431" s="233"/>
    </row>
    <row r="432" ht="15.75">
      <c r="A432" s="233"/>
    </row>
    <row r="433" ht="15.75">
      <c r="A433" s="233"/>
    </row>
    <row r="434" ht="15.75">
      <c r="A434" s="233"/>
    </row>
    <row r="435" ht="15.75">
      <c r="A435" s="233"/>
    </row>
    <row r="436" ht="15.75">
      <c r="A436" s="233"/>
    </row>
    <row r="437" ht="18.75">
      <c r="A437" s="268"/>
    </row>
    <row r="438" ht="15.75">
      <c r="A438" s="233"/>
    </row>
    <row r="439" ht="15.75">
      <c r="A439" s="233"/>
    </row>
    <row r="440" ht="15.75">
      <c r="A440" s="233"/>
    </row>
    <row r="441" ht="15.75">
      <c r="A441" s="233"/>
    </row>
    <row r="442" spans="1:7" ht="15.75">
      <c r="A442" s="235"/>
      <c r="G442" s="267"/>
    </row>
    <row r="443" spans="1:6" ht="15.75">
      <c r="A443" s="235"/>
      <c r="F443" s="267"/>
    </row>
    <row r="444" ht="15.75">
      <c r="A444" s="235"/>
    </row>
    <row r="445" ht="15.75">
      <c r="A445" s="235"/>
    </row>
    <row r="446" ht="15.75">
      <c r="I446" s="234"/>
    </row>
    <row r="447" ht="15.75">
      <c r="A447" s="233"/>
    </row>
    <row r="448" spans="1:7" ht="15.75">
      <c r="A448" s="235"/>
      <c r="G448" s="267"/>
    </row>
    <row r="449" spans="1:7" ht="15.75">
      <c r="A449" s="235"/>
      <c r="G449" s="267"/>
    </row>
    <row r="450" ht="15.75">
      <c r="A450" s="235"/>
    </row>
    <row r="451" ht="15.75">
      <c r="A451" s="235"/>
    </row>
    <row r="452" spans="1:7" ht="15.75">
      <c r="A452" s="235"/>
      <c r="G452" s="267"/>
    </row>
    <row r="453" ht="15.75">
      <c r="A453" s="235"/>
    </row>
    <row r="454" ht="15.75">
      <c r="A454" s="235"/>
    </row>
    <row r="455" ht="15.75">
      <c r="A455" s="235"/>
    </row>
    <row r="456" spans="1:7" ht="15.75">
      <c r="A456" s="235"/>
      <c r="G456" s="267"/>
    </row>
    <row r="457" ht="15.75">
      <c r="A457" s="235"/>
    </row>
    <row r="458" ht="15.75">
      <c r="A458" s="233"/>
    </row>
    <row r="459" ht="15.75">
      <c r="A459" s="233"/>
    </row>
    <row r="460" ht="15.75">
      <c r="A460" s="233"/>
    </row>
    <row r="461" ht="15.75">
      <c r="A461" s="233"/>
    </row>
    <row r="462" ht="15.75">
      <c r="A462" s="233"/>
    </row>
    <row r="463" ht="15.75">
      <c r="A463" s="233"/>
    </row>
    <row r="464" ht="15.75">
      <c r="A464" s="233"/>
    </row>
    <row r="465" ht="15.75">
      <c r="A465" s="233"/>
    </row>
    <row r="466" ht="15.75">
      <c r="A466" s="233"/>
    </row>
    <row r="467" ht="15.75">
      <c r="A467" s="233"/>
    </row>
    <row r="468" ht="15.75">
      <c r="A468" s="233"/>
    </row>
    <row r="469" ht="15.75">
      <c r="A469" s="233"/>
    </row>
    <row r="470" ht="15.75">
      <c r="A470" s="233"/>
    </row>
    <row r="471" ht="15.75">
      <c r="A471" s="233"/>
    </row>
    <row r="472" ht="15.75">
      <c r="A472" s="233"/>
    </row>
    <row r="473" ht="15.75">
      <c r="A473" s="233"/>
    </row>
    <row r="474" ht="15.75">
      <c r="A474" s="233"/>
    </row>
    <row r="475" ht="15.75">
      <c r="A475" s="233"/>
    </row>
    <row r="476" ht="15.75">
      <c r="A476" s="233"/>
    </row>
    <row r="477" ht="15.75">
      <c r="A477" s="233"/>
    </row>
    <row r="478" ht="15.75">
      <c r="A478" s="233"/>
    </row>
    <row r="479" ht="15.75">
      <c r="A479" s="233"/>
    </row>
    <row r="480" ht="15.75">
      <c r="A480" s="233"/>
    </row>
    <row r="481" ht="15.75">
      <c r="A481" s="233"/>
    </row>
    <row r="482" ht="15.75">
      <c r="A482" s="233"/>
    </row>
    <row r="483" ht="15.75">
      <c r="A483" s="233"/>
    </row>
    <row r="484" ht="15.75">
      <c r="A484" s="233"/>
    </row>
    <row r="485" ht="15.75">
      <c r="A485" s="233"/>
    </row>
    <row r="486" ht="15.75">
      <c r="A486" s="233"/>
    </row>
    <row r="487" ht="15.75">
      <c r="A487" s="233"/>
    </row>
    <row r="488" ht="15.75">
      <c r="A488" s="233"/>
    </row>
    <row r="489" ht="15.75">
      <c r="A489" s="233"/>
    </row>
    <row r="490" ht="15.75">
      <c r="A490" s="233"/>
    </row>
    <row r="491" ht="15.75">
      <c r="A491" s="233"/>
    </row>
    <row r="492" ht="15.75">
      <c r="A492" s="233"/>
    </row>
    <row r="493" ht="15.75">
      <c r="A493" s="233"/>
    </row>
    <row r="494" ht="15.75">
      <c r="A494" s="233"/>
    </row>
  </sheetData>
  <mergeCells count="7">
    <mergeCell ref="A383:E383"/>
    <mergeCell ref="A384:E384"/>
    <mergeCell ref="A1:E1"/>
    <mergeCell ref="E8:E9"/>
    <mergeCell ref="A288:E288"/>
    <mergeCell ref="A382:E382"/>
    <mergeCell ref="E315:E316"/>
  </mergeCells>
  <printOptions horizontalCentered="1"/>
  <pageMargins left="0.11811023622047245" right="0.11811023622047245" top="0.4" bottom="0.71" header="0.03937007874015748" footer="0.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zoomScale="150" zoomScaleNormal="150" workbookViewId="0" topLeftCell="E7">
      <selection activeCell="A1" sqref="A1:M17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13.28125" style="0" hidden="1" customWidth="1"/>
    <col min="4" max="4" width="11.28125" style="0" hidden="1" customWidth="1"/>
    <col min="5" max="5" width="14.7109375" style="0" customWidth="1"/>
    <col min="6" max="6" width="17.00390625" style="0" customWidth="1"/>
    <col min="7" max="7" width="6.8515625" style="0" customWidth="1"/>
    <col min="8" max="8" width="14.28125" style="0" hidden="1" customWidth="1"/>
    <col min="9" max="9" width="5.28125" style="0" hidden="1" customWidth="1"/>
    <col min="10" max="10" width="14.140625" style="0" customWidth="1"/>
    <col min="11" max="11" width="15.140625" style="0" customWidth="1"/>
    <col min="12" max="12" width="6.421875" style="0" customWidth="1"/>
    <col min="13" max="13" width="62.57421875" style="0" customWidth="1"/>
    <col min="14" max="14" width="14.8515625" style="0" customWidth="1"/>
    <col min="16" max="16" width="19.28125" style="0" customWidth="1"/>
    <col min="18" max="18" width="12.7109375" style="0" bestFit="1" customWidth="1"/>
    <col min="20" max="20" width="12.00390625" style="0" customWidth="1"/>
  </cols>
  <sheetData>
    <row r="1" spans="3:16" ht="12.75">
      <c r="C1" s="75"/>
      <c r="D1" s="75"/>
      <c r="E1" s="75"/>
      <c r="F1" s="75"/>
      <c r="G1" s="75"/>
      <c r="H1" s="75"/>
      <c r="K1" s="75"/>
      <c r="L1" s="75"/>
      <c r="M1" s="180" t="s">
        <v>303</v>
      </c>
      <c r="N1" s="5"/>
      <c r="O1" s="5"/>
      <c r="P1" s="5"/>
    </row>
    <row r="2" spans="3:16" ht="12.75" customHeight="1">
      <c r="C2" s="75"/>
      <c r="D2" s="75"/>
      <c r="E2" s="75"/>
      <c r="F2" s="75"/>
      <c r="G2" s="75"/>
      <c r="H2" s="75"/>
      <c r="K2" s="75"/>
      <c r="L2" s="75"/>
      <c r="M2" s="5"/>
      <c r="N2" s="5"/>
      <c r="O2" s="5"/>
      <c r="P2" s="5"/>
    </row>
    <row r="3" spans="1:13" ht="20.25">
      <c r="A3" s="2"/>
      <c r="B3" s="181" t="s">
        <v>149</v>
      </c>
      <c r="C3" s="182"/>
      <c r="D3" s="182"/>
      <c r="E3" s="182"/>
      <c r="F3" s="182"/>
      <c r="G3" s="182"/>
      <c r="H3" s="180"/>
      <c r="I3" s="42"/>
      <c r="J3" s="5"/>
      <c r="K3" s="182"/>
      <c r="L3" s="182"/>
      <c r="M3" s="5"/>
    </row>
    <row r="4" spans="1:13" ht="12.75">
      <c r="A4" s="183"/>
      <c r="B4" s="184"/>
      <c r="C4" s="184"/>
      <c r="D4" s="184"/>
      <c r="E4" s="184"/>
      <c r="F4" s="184"/>
      <c r="G4" s="184"/>
      <c r="H4" s="5"/>
      <c r="I4" s="184"/>
      <c r="J4" s="184"/>
      <c r="K4" s="184"/>
      <c r="L4" s="184"/>
      <c r="M4" s="184"/>
    </row>
    <row r="5" spans="1:13" ht="12.7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82.5" customHeight="1">
      <c r="A6" s="185" t="s">
        <v>1063</v>
      </c>
      <c r="B6" s="185" t="s">
        <v>1080</v>
      </c>
      <c r="C6" s="186" t="s">
        <v>1081</v>
      </c>
      <c r="D6" s="186" t="s">
        <v>1082</v>
      </c>
      <c r="E6" s="186" t="s">
        <v>1083</v>
      </c>
      <c r="F6" s="186" t="s">
        <v>268</v>
      </c>
      <c r="G6" s="186" t="s">
        <v>308</v>
      </c>
      <c r="H6" s="186" t="s">
        <v>1084</v>
      </c>
      <c r="I6" s="186" t="s">
        <v>1082</v>
      </c>
      <c r="J6" s="186" t="s">
        <v>1085</v>
      </c>
      <c r="K6" s="186" t="s">
        <v>268</v>
      </c>
      <c r="L6" s="186" t="s">
        <v>308</v>
      </c>
      <c r="M6" s="186"/>
    </row>
    <row r="7" spans="1:13" ht="12.75">
      <c r="A7" s="187"/>
      <c r="B7" s="187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21" customHeight="1">
      <c r="A8" s="622">
        <v>952</v>
      </c>
      <c r="B8" s="603" t="s">
        <v>502</v>
      </c>
      <c r="C8" s="189"/>
      <c r="D8" s="189"/>
      <c r="E8" s="620">
        <f>9771263-E10</f>
        <v>2746990</v>
      </c>
      <c r="F8" s="614">
        <v>2317530.11</v>
      </c>
      <c r="G8" s="614">
        <f>F8*100/E8</f>
        <v>84.36616478399993</v>
      </c>
      <c r="H8" s="189"/>
      <c r="I8" s="189"/>
      <c r="J8" s="616"/>
      <c r="K8" s="618"/>
      <c r="L8" s="618"/>
      <c r="M8" s="599" t="s">
        <v>1058</v>
      </c>
    </row>
    <row r="9" spans="1:13" s="190" customFormat="1" ht="24.75" customHeight="1">
      <c r="A9" s="589"/>
      <c r="B9" s="624"/>
      <c r="C9" s="34"/>
      <c r="D9" s="160"/>
      <c r="E9" s="621"/>
      <c r="F9" s="615"/>
      <c r="G9" s="615"/>
      <c r="H9" s="34"/>
      <c r="I9" s="34"/>
      <c r="J9" s="617"/>
      <c r="K9" s="619"/>
      <c r="L9" s="619"/>
      <c r="M9" s="600"/>
    </row>
    <row r="10" spans="1:13" s="190" customFormat="1" ht="47.25" customHeight="1">
      <c r="A10" s="623"/>
      <c r="B10" s="604"/>
      <c r="C10" s="34"/>
      <c r="D10" s="160"/>
      <c r="E10" s="307">
        <v>7024273</v>
      </c>
      <c r="F10" s="308">
        <f>3412738.85+1308836.23</f>
        <v>4721575.08</v>
      </c>
      <c r="G10" s="308">
        <f>F10*100/E10</f>
        <v>67.2179893919271</v>
      </c>
      <c r="H10" s="34"/>
      <c r="I10" s="34"/>
      <c r="J10" s="309"/>
      <c r="K10" s="310"/>
      <c r="L10" s="310"/>
      <c r="M10" s="311" t="s">
        <v>1059</v>
      </c>
    </row>
    <row r="11" spans="1:13" s="190" customFormat="1" ht="12.75">
      <c r="A11" s="191"/>
      <c r="B11" s="192"/>
      <c r="C11" s="193"/>
      <c r="D11" s="194"/>
      <c r="E11" s="193"/>
      <c r="F11" s="193"/>
      <c r="G11" s="193"/>
      <c r="H11" s="193"/>
      <c r="I11" s="193"/>
      <c r="J11" s="193"/>
      <c r="K11" s="193"/>
      <c r="L11" s="193"/>
      <c r="M11" s="195"/>
    </row>
    <row r="12" spans="1:13" s="197" customFormat="1" ht="34.5" customHeight="1">
      <c r="A12" s="601">
        <v>992</v>
      </c>
      <c r="B12" s="603" t="s">
        <v>1086</v>
      </c>
      <c r="C12" s="35"/>
      <c r="D12" s="196"/>
      <c r="E12" s="395"/>
      <c r="F12" s="395"/>
      <c r="G12" s="395"/>
      <c r="H12" s="35"/>
      <c r="I12" s="35"/>
      <c r="J12" s="396">
        <f>7148838-J13</f>
        <v>124565</v>
      </c>
      <c r="K12" s="404">
        <v>62282.06</v>
      </c>
      <c r="L12" s="395">
        <f>K12*100/J12</f>
        <v>49.999646770762254</v>
      </c>
      <c r="M12" s="397" t="s">
        <v>266</v>
      </c>
    </row>
    <row r="13" spans="1:13" s="190" customFormat="1" ht="33.75" customHeight="1">
      <c r="A13" s="602"/>
      <c r="B13" s="604"/>
      <c r="C13" s="34"/>
      <c r="D13" s="160"/>
      <c r="E13" s="35"/>
      <c r="F13" s="35"/>
      <c r="G13" s="35"/>
      <c r="H13" s="34"/>
      <c r="I13" s="34"/>
      <c r="J13" s="435">
        <v>7024273</v>
      </c>
      <c r="K13" s="308">
        <v>3489484.97</v>
      </c>
      <c r="L13" s="404">
        <f>K13*100/J13</f>
        <v>49.677524919660726</v>
      </c>
      <c r="M13" s="405" t="s">
        <v>267</v>
      </c>
    </row>
    <row r="14" spans="1:13" s="190" customFormat="1" ht="12.75">
      <c r="A14" s="198"/>
      <c r="B14" s="199"/>
      <c r="C14" s="200"/>
      <c r="D14" s="201"/>
      <c r="E14" s="202"/>
      <c r="F14" s="202"/>
      <c r="G14" s="202"/>
      <c r="H14" s="200"/>
      <c r="I14" s="200"/>
      <c r="J14" s="202"/>
      <c r="K14" s="202"/>
      <c r="L14" s="202"/>
      <c r="M14" s="203"/>
    </row>
    <row r="15" spans="1:13" ht="12.75">
      <c r="A15" s="605"/>
      <c r="B15" s="606"/>
      <c r="C15" s="204"/>
      <c r="D15" s="205"/>
      <c r="E15" s="611">
        <f>SUM(E8:E13)</f>
        <v>9771263</v>
      </c>
      <c r="F15" s="611">
        <f>F8+F10</f>
        <v>7039105.1899999995</v>
      </c>
      <c r="G15" s="611">
        <f>F15*100/E15</f>
        <v>72.03884687168895</v>
      </c>
      <c r="H15" s="206"/>
      <c r="I15" s="206"/>
      <c r="J15" s="611">
        <f>SUM(J9:J13)</f>
        <v>7148838</v>
      </c>
      <c r="K15" s="611">
        <f>SUM(K9:K13)</f>
        <v>3551767.0300000003</v>
      </c>
      <c r="L15" s="611">
        <f>SUM(L9:L13)</f>
        <v>99.67717169042298</v>
      </c>
      <c r="M15" s="596"/>
    </row>
    <row r="16" spans="1:13" ht="15.75">
      <c r="A16" s="607"/>
      <c r="B16" s="608"/>
      <c r="C16" s="207">
        <f>SUM(C9:C13)</f>
        <v>0</v>
      </c>
      <c r="D16" s="208">
        <f>SUM(D9:D13)</f>
        <v>0</v>
      </c>
      <c r="E16" s="612"/>
      <c r="F16" s="612"/>
      <c r="G16" s="612"/>
      <c r="H16" s="209">
        <f>SUM(H9:H13)</f>
        <v>0</v>
      </c>
      <c r="I16" s="210">
        <f>SUM(I9:I13)</f>
        <v>0</v>
      </c>
      <c r="J16" s="612"/>
      <c r="K16" s="612"/>
      <c r="L16" s="612"/>
      <c r="M16" s="597"/>
    </row>
    <row r="17" spans="1:13" ht="12.75">
      <c r="A17" s="609"/>
      <c r="B17" s="610"/>
      <c r="C17" s="211"/>
      <c r="D17" s="211"/>
      <c r="E17" s="613"/>
      <c r="F17" s="613"/>
      <c r="G17" s="613"/>
      <c r="H17" s="212"/>
      <c r="I17" s="213"/>
      <c r="J17" s="613"/>
      <c r="K17" s="613"/>
      <c r="L17" s="613"/>
      <c r="M17" s="598"/>
    </row>
    <row r="19" ht="12.75">
      <c r="B19" s="214"/>
    </row>
  </sheetData>
  <mergeCells count="19">
    <mergeCell ref="E8:E9"/>
    <mergeCell ref="F8:F9"/>
    <mergeCell ref="A8:A10"/>
    <mergeCell ref="B8:B10"/>
    <mergeCell ref="L15:L17"/>
    <mergeCell ref="G8:G9"/>
    <mergeCell ref="J8:J9"/>
    <mergeCell ref="K8:K9"/>
    <mergeCell ref="L8:L9"/>
    <mergeCell ref="M15:M17"/>
    <mergeCell ref="M8:M9"/>
    <mergeCell ref="A12:A13"/>
    <mergeCell ref="B12:B13"/>
    <mergeCell ref="A15:B17"/>
    <mergeCell ref="E15:E17"/>
    <mergeCell ref="F15:F17"/>
    <mergeCell ref="G15:G17"/>
    <mergeCell ref="J15:J17"/>
    <mergeCell ref="K15:K17"/>
  </mergeCells>
  <printOptions horizontalCentered="1"/>
  <pageMargins left="0.11811023622047245" right="0.11811023622047245" top="0.1968503937007874" bottom="0.4724409448818898" header="0.1968503937007874" footer="0.4724409448818898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zoomScale="150" zoomScaleNormal="150" workbookViewId="0" topLeftCell="A17">
      <selection activeCell="C12" sqref="C12"/>
    </sheetView>
  </sheetViews>
  <sheetFormatPr defaultColWidth="9.140625" defaultRowHeight="12.75"/>
  <cols>
    <col min="1" max="1" width="6.8515625" style="184" customWidth="1"/>
    <col min="2" max="2" width="41.8515625" style="184" customWidth="1"/>
    <col min="3" max="3" width="24.28125" style="184" customWidth="1"/>
    <col min="4" max="4" width="43.00390625" style="184" hidden="1" customWidth="1"/>
    <col min="5" max="5" width="2.57421875" style="184" hidden="1" customWidth="1"/>
    <col min="6" max="6" width="19.8515625" style="184" customWidth="1"/>
    <col min="7" max="7" width="7.140625" style="184" customWidth="1"/>
    <col min="8" max="9" width="11.28125" style="184" customWidth="1"/>
    <col min="10" max="16384" width="9.140625" style="184" customWidth="1"/>
  </cols>
  <sheetData>
    <row r="1" spans="3:10" ht="12" customHeight="1">
      <c r="C1" s="42"/>
      <c r="D1" s="5" t="s">
        <v>1087</v>
      </c>
      <c r="E1" s="5" t="s">
        <v>1088</v>
      </c>
      <c r="F1" s="5"/>
      <c r="H1" s="629"/>
      <c r="I1" s="629"/>
      <c r="J1" s="629"/>
    </row>
    <row r="2" spans="5:7" ht="12.75">
      <c r="E2" s="215"/>
      <c r="F2" s="630" t="s">
        <v>304</v>
      </c>
      <c r="G2" s="630"/>
    </row>
    <row r="3" spans="1:7" ht="18.75" customHeight="1">
      <c r="A3" s="593" t="s">
        <v>1089</v>
      </c>
      <c r="B3" s="593"/>
      <c r="C3" s="593"/>
      <c r="D3" s="593"/>
      <c r="E3" s="593"/>
      <c r="F3" s="593"/>
      <c r="G3" s="593"/>
    </row>
    <row r="4" spans="1:7" ht="18.75" customHeight="1">
      <c r="A4" s="593" t="s">
        <v>1090</v>
      </c>
      <c r="B4" s="593"/>
      <c r="C4" s="593"/>
      <c r="D4" s="593"/>
      <c r="E4" s="593"/>
      <c r="F4" s="593"/>
      <c r="G4" s="593"/>
    </row>
    <row r="5" spans="1:7" ht="18.75" customHeight="1">
      <c r="A5" s="593" t="s">
        <v>549</v>
      </c>
      <c r="B5" s="593"/>
      <c r="C5" s="593"/>
      <c r="D5" s="593"/>
      <c r="E5" s="593"/>
      <c r="F5" s="593"/>
      <c r="G5" s="593"/>
    </row>
    <row r="6" spans="1:7" ht="18.75" customHeight="1" thickBot="1">
      <c r="A6" s="216"/>
      <c r="B6" s="216"/>
      <c r="C6" s="216"/>
      <c r="D6" s="216"/>
      <c r="E6" s="216"/>
      <c r="F6" s="216"/>
      <c r="G6" s="216"/>
    </row>
    <row r="7" spans="1:7" s="3" customFormat="1" ht="13.5" customHeight="1">
      <c r="A7" s="586" t="s">
        <v>1063</v>
      </c>
      <c r="B7" s="586" t="s">
        <v>1064</v>
      </c>
      <c r="C7" s="586" t="s">
        <v>558</v>
      </c>
      <c r="D7" s="586"/>
      <c r="E7" s="217"/>
      <c r="F7" s="586" t="s">
        <v>268</v>
      </c>
      <c r="G7" s="586" t="s">
        <v>308</v>
      </c>
    </row>
    <row r="8" spans="1:9" s="14" customFormat="1" ht="48" customHeight="1" thickBot="1">
      <c r="A8" s="575"/>
      <c r="B8" s="575"/>
      <c r="C8" s="575"/>
      <c r="D8" s="575"/>
      <c r="E8" s="218"/>
      <c r="F8" s="575"/>
      <c r="G8" s="575"/>
      <c r="H8" s="219"/>
      <c r="I8" s="219"/>
    </row>
    <row r="9" spans="1:7" s="222" customFormat="1" ht="12.75">
      <c r="A9" s="220"/>
      <c r="B9" s="220"/>
      <c r="C9" s="220"/>
      <c r="D9" s="220"/>
      <c r="E9" s="220"/>
      <c r="F9" s="221"/>
      <c r="G9" s="221"/>
    </row>
    <row r="10" spans="1:7" s="226" customFormat="1" ht="12.75">
      <c r="A10" s="223"/>
      <c r="B10" s="224" t="s">
        <v>1091</v>
      </c>
      <c r="C10" s="225">
        <f>C11+C12+C13</f>
        <v>37900</v>
      </c>
      <c r="D10" s="225"/>
      <c r="E10" s="225"/>
      <c r="F10" s="225">
        <f>F11+F12+F13</f>
        <v>25014.25</v>
      </c>
      <c r="G10" s="20"/>
    </row>
    <row r="11" spans="1:7" s="231" customFormat="1" ht="12.75">
      <c r="A11" s="227"/>
      <c r="B11" s="228" t="s">
        <v>1092</v>
      </c>
      <c r="C11" s="229">
        <v>12900</v>
      </c>
      <c r="D11" s="230"/>
      <c r="E11" s="229"/>
      <c r="F11" s="229">
        <v>1332.75</v>
      </c>
      <c r="G11" s="29"/>
    </row>
    <row r="12" spans="1:7" s="42" customFormat="1" ht="27" customHeight="1" thickBot="1">
      <c r="A12" s="31" t="s">
        <v>367</v>
      </c>
      <c r="B12" s="32" t="s">
        <v>672</v>
      </c>
      <c r="C12" s="34">
        <v>25000</v>
      </c>
      <c r="D12" s="34" t="s">
        <v>1093</v>
      </c>
      <c r="E12" s="34" t="s">
        <v>1093</v>
      </c>
      <c r="F12" s="34">
        <v>23681.5</v>
      </c>
      <c r="G12" s="35">
        <f>F12*100/C12</f>
        <v>94.726</v>
      </c>
    </row>
    <row r="13" spans="1:7" s="42" customFormat="1" ht="23.25" customHeight="1" hidden="1" thickBot="1">
      <c r="A13" s="232" t="s">
        <v>359</v>
      </c>
      <c r="B13" s="32" t="s">
        <v>360</v>
      </c>
      <c r="C13" s="136"/>
      <c r="D13" s="136" t="s">
        <v>1094</v>
      </c>
      <c r="E13" s="136"/>
      <c r="F13" s="136"/>
      <c r="G13" s="35" t="e">
        <f>F13*100/C13</f>
        <v>#DIV/0!</v>
      </c>
    </row>
    <row r="14" spans="1:7" s="222" customFormat="1" ht="12.75">
      <c r="A14" s="220"/>
      <c r="B14" s="220"/>
      <c r="C14" s="220"/>
      <c r="D14" s="220"/>
      <c r="E14" s="220"/>
      <c r="F14" s="221"/>
      <c r="G14" s="221"/>
    </row>
    <row r="15" spans="1:7" s="226" customFormat="1" ht="12.75">
      <c r="A15" s="223"/>
      <c r="B15" s="224" t="s">
        <v>1095</v>
      </c>
      <c r="C15" s="225">
        <f>SUM(C16:C18)</f>
        <v>37900</v>
      </c>
      <c r="D15" s="225"/>
      <c r="E15" s="225"/>
      <c r="F15" s="225">
        <f>SUM(F16:F18)</f>
        <v>912.02</v>
      </c>
      <c r="G15" s="20"/>
    </row>
    <row r="16" spans="1:7" s="66" customFormat="1" ht="21" customHeight="1">
      <c r="A16" s="31">
        <v>4170</v>
      </c>
      <c r="B16" s="32" t="s">
        <v>921</v>
      </c>
      <c r="C16" s="69">
        <v>11000</v>
      </c>
      <c r="D16" s="274"/>
      <c r="E16" s="274"/>
      <c r="F16" s="34">
        <v>0</v>
      </c>
      <c r="G16" s="35">
        <f>F16*100/C16</f>
        <v>0</v>
      </c>
    </row>
    <row r="17" spans="1:7" s="66" customFormat="1" ht="21" customHeight="1">
      <c r="A17" s="31">
        <v>4210</v>
      </c>
      <c r="B17" s="32" t="s">
        <v>469</v>
      </c>
      <c r="C17" s="69">
        <v>4600</v>
      </c>
      <c r="D17" s="627" t="s">
        <v>587</v>
      </c>
      <c r="E17" s="627" t="s">
        <v>588</v>
      </c>
      <c r="F17" s="34">
        <v>251.52</v>
      </c>
      <c r="G17" s="35">
        <f>F17*100/C17</f>
        <v>5.467826086956522</v>
      </c>
    </row>
    <row r="18" spans="1:7" s="66" customFormat="1" ht="29.25" customHeight="1" thickBot="1">
      <c r="A18" s="31">
        <v>4300</v>
      </c>
      <c r="B18" s="32" t="s">
        <v>471</v>
      </c>
      <c r="C18" s="69">
        <v>22300</v>
      </c>
      <c r="D18" s="628"/>
      <c r="E18" s="628"/>
      <c r="F18" s="34">
        <v>660.5</v>
      </c>
      <c r="G18" s="35">
        <f>F18*100/C18</f>
        <v>2.9618834080717487</v>
      </c>
    </row>
    <row r="19" spans="1:7" s="222" customFormat="1" ht="12.75">
      <c r="A19" s="220"/>
      <c r="B19" s="220"/>
      <c r="C19" s="220"/>
      <c r="D19" s="220"/>
      <c r="E19" s="220"/>
      <c r="F19" s="221"/>
      <c r="G19" s="221"/>
    </row>
    <row r="23" spans="1:7" ht="15.75">
      <c r="A23" s="625" t="s">
        <v>1091</v>
      </c>
      <c r="B23" s="625"/>
      <c r="C23" s="626">
        <f>SUM(C25:C26)</f>
        <v>23681.5</v>
      </c>
      <c r="D23" s="626"/>
      <c r="F23" s="626"/>
      <c r="G23" s="626"/>
    </row>
    <row r="24" spans="1:6" ht="15.75">
      <c r="A24" s="233"/>
      <c r="C24" s="234"/>
      <c r="F24" s="234"/>
    </row>
    <row r="25" spans="1:7" ht="30.75" customHeight="1">
      <c r="A25" s="577" t="s">
        <v>922</v>
      </c>
      <c r="B25" s="577"/>
      <c r="C25" s="595">
        <v>19710.03</v>
      </c>
      <c r="D25" s="595"/>
      <c r="F25" s="595"/>
      <c r="G25" s="595"/>
    </row>
    <row r="26" spans="1:7" ht="15.75">
      <c r="A26" s="577" t="s">
        <v>559</v>
      </c>
      <c r="B26" s="577"/>
      <c r="C26" s="595">
        <v>3971.47</v>
      </c>
      <c r="D26" s="595"/>
      <c r="F26" s="595"/>
      <c r="G26" s="595"/>
    </row>
    <row r="27" spans="1:6" ht="15.75">
      <c r="A27" s="233"/>
      <c r="C27" s="234"/>
      <c r="F27" s="234"/>
    </row>
    <row r="28" spans="1:7" ht="15.75">
      <c r="A28" s="625" t="s">
        <v>1095</v>
      </c>
      <c r="B28" s="625"/>
      <c r="C28" s="626">
        <f>SUM(C31:C37)</f>
        <v>912.02</v>
      </c>
      <c r="D28" s="626"/>
      <c r="F28" s="626"/>
      <c r="G28" s="626"/>
    </row>
    <row r="29" spans="1:6" ht="15.75">
      <c r="A29" s="233"/>
      <c r="C29" s="234"/>
      <c r="F29" s="234"/>
    </row>
    <row r="30" spans="1:6" ht="15.75">
      <c r="A30" s="577" t="s">
        <v>589</v>
      </c>
      <c r="B30" s="577"/>
      <c r="C30" s="234"/>
      <c r="F30" s="234"/>
    </row>
    <row r="31" spans="1:7" ht="15.75">
      <c r="A31" s="577" t="s">
        <v>590</v>
      </c>
      <c r="B31" s="577"/>
      <c r="C31" s="595">
        <v>801.52</v>
      </c>
      <c r="D31" s="595"/>
      <c r="F31" s="595"/>
      <c r="G31" s="595"/>
    </row>
    <row r="32" spans="1:7" ht="33.75" customHeight="1">
      <c r="A32" s="577" t="s">
        <v>557</v>
      </c>
      <c r="B32" s="577"/>
      <c r="C32" s="595">
        <v>35.8</v>
      </c>
      <c r="D32" s="595"/>
      <c r="F32" s="595"/>
      <c r="G32" s="595"/>
    </row>
    <row r="33" spans="1:7" ht="15.75" hidden="1">
      <c r="A33" s="577" t="s">
        <v>591</v>
      </c>
      <c r="B33" s="577"/>
      <c r="C33" s="595"/>
      <c r="D33" s="595"/>
      <c r="F33" s="595"/>
      <c r="G33" s="595"/>
    </row>
    <row r="34" spans="1:7" ht="15.75" hidden="1">
      <c r="A34" s="577" t="s">
        <v>592</v>
      </c>
      <c r="B34" s="577"/>
      <c r="C34" s="595"/>
      <c r="D34" s="595"/>
      <c r="F34" s="595"/>
      <c r="G34" s="595"/>
    </row>
    <row r="35" spans="1:7" ht="15.75" hidden="1">
      <c r="A35" s="577" t="s">
        <v>923</v>
      </c>
      <c r="B35" s="577"/>
      <c r="C35" s="236"/>
      <c r="D35" s="236"/>
      <c r="F35" s="236"/>
      <c r="G35" s="236"/>
    </row>
    <row r="36" spans="1:7" ht="15.75" hidden="1">
      <c r="A36" s="577" t="s">
        <v>593</v>
      </c>
      <c r="B36" s="577"/>
      <c r="C36" s="595"/>
      <c r="D36" s="595"/>
      <c r="F36" s="595"/>
      <c r="G36" s="595"/>
    </row>
    <row r="37" spans="1:7" ht="15.75">
      <c r="A37" s="577" t="s">
        <v>594</v>
      </c>
      <c r="B37" s="577"/>
      <c r="C37" s="595">
        <v>74.7</v>
      </c>
      <c r="D37" s="595"/>
      <c r="F37" s="595"/>
      <c r="G37" s="595"/>
    </row>
  </sheetData>
  <mergeCells count="45">
    <mergeCell ref="H1:J1"/>
    <mergeCell ref="F2:G2"/>
    <mergeCell ref="A3:G3"/>
    <mergeCell ref="A4:G4"/>
    <mergeCell ref="A5:G5"/>
    <mergeCell ref="A7:A8"/>
    <mergeCell ref="B7:B8"/>
    <mergeCell ref="C7:C8"/>
    <mergeCell ref="D7:D8"/>
    <mergeCell ref="F7:F8"/>
    <mergeCell ref="G7:G8"/>
    <mergeCell ref="D17:D18"/>
    <mergeCell ref="E17:E18"/>
    <mergeCell ref="A23:B23"/>
    <mergeCell ref="F23:G23"/>
    <mergeCell ref="C23:D23"/>
    <mergeCell ref="A25:B25"/>
    <mergeCell ref="F25:G25"/>
    <mergeCell ref="A26:B26"/>
    <mergeCell ref="F26:G26"/>
    <mergeCell ref="C25:D25"/>
    <mergeCell ref="C26:D26"/>
    <mergeCell ref="A28:B28"/>
    <mergeCell ref="F28:G28"/>
    <mergeCell ref="A30:B30"/>
    <mergeCell ref="A31:B31"/>
    <mergeCell ref="F31:G31"/>
    <mergeCell ref="C28:D28"/>
    <mergeCell ref="C31:D31"/>
    <mergeCell ref="A32:B32"/>
    <mergeCell ref="F32:G32"/>
    <mergeCell ref="A33:B33"/>
    <mergeCell ref="F33:G33"/>
    <mergeCell ref="C32:D32"/>
    <mergeCell ref="C33:D33"/>
    <mergeCell ref="A37:B37"/>
    <mergeCell ref="F37:G37"/>
    <mergeCell ref="A34:B34"/>
    <mergeCell ref="F34:G34"/>
    <mergeCell ref="A36:B36"/>
    <mergeCell ref="F36:G36"/>
    <mergeCell ref="C34:D34"/>
    <mergeCell ref="C36:D36"/>
    <mergeCell ref="C37:D37"/>
    <mergeCell ref="A35:B35"/>
  </mergeCells>
  <printOptions horizontalCentered="1"/>
  <pageMargins left="0.2362204724409449" right="0.11811023622047245" top="0.4724409448818898" bottom="0.984251968503937" header="0.11811023622047245" footer="0.9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AG118"/>
  <sheetViews>
    <sheetView zoomScale="150" zoomScaleNormal="150" workbookViewId="0" topLeftCell="I1">
      <selection activeCell="AF44" sqref="AF44"/>
    </sheetView>
  </sheetViews>
  <sheetFormatPr defaultColWidth="9.140625" defaultRowHeight="12.75"/>
  <cols>
    <col min="1" max="1" width="2.28125" style="3" customWidth="1"/>
    <col min="2" max="2" width="5.28125" style="3" customWidth="1"/>
    <col min="3" max="3" width="7.28125" style="3" customWidth="1"/>
    <col min="4" max="4" width="4.8515625" style="3" customWidth="1"/>
    <col min="5" max="5" width="24.140625" style="3" customWidth="1"/>
    <col min="6" max="6" width="11.7109375" style="3" hidden="1" customWidth="1"/>
    <col min="7" max="7" width="14.140625" style="304" hidden="1" customWidth="1"/>
    <col min="8" max="8" width="14.421875" style="3" hidden="1" customWidth="1"/>
    <col min="9" max="9" width="14.421875" style="3" customWidth="1"/>
    <col min="10" max="10" width="40.57421875" style="305" hidden="1" customWidth="1"/>
    <col min="11" max="11" width="12.421875" style="179" hidden="1" customWidth="1"/>
    <col min="12" max="12" width="12.140625" style="3" hidden="1" customWidth="1"/>
    <col min="13" max="13" width="14.28125" style="3" hidden="1" customWidth="1"/>
    <col min="14" max="14" width="13.421875" style="3" hidden="1" customWidth="1"/>
    <col min="15" max="15" width="13.28125" style="3" hidden="1" customWidth="1"/>
    <col min="16" max="16" width="12.00390625" style="3" hidden="1" customWidth="1"/>
    <col min="17" max="17" width="15.57421875" style="112" customWidth="1"/>
    <col min="18" max="18" width="14.00390625" style="3" hidden="1" customWidth="1"/>
    <col min="19" max="29" width="12.7109375" style="3" hidden="1" customWidth="1"/>
    <col min="30" max="30" width="17.140625" style="3" customWidth="1"/>
    <col min="31" max="31" width="13.00390625" style="3" hidden="1" customWidth="1"/>
    <col min="32" max="32" width="7.00390625" style="3" customWidth="1"/>
    <col min="33" max="33" width="26.00390625" style="454" customWidth="1"/>
    <col min="34" max="36" width="11.57421875" style="3" customWidth="1"/>
    <col min="37" max="16384" width="9.140625" style="3" customWidth="1"/>
  </cols>
  <sheetData>
    <row r="1" spans="2:33" ht="24.75" customHeight="1">
      <c r="B1" s="1" t="s">
        <v>108</v>
      </c>
      <c r="C1" s="113"/>
      <c r="D1" s="2"/>
      <c r="G1" s="4"/>
      <c r="H1" s="6"/>
      <c r="I1" s="6"/>
      <c r="J1" s="75" t="s">
        <v>561</v>
      </c>
      <c r="K1" s="7"/>
      <c r="L1" s="6"/>
      <c r="M1" s="6"/>
      <c r="N1" s="6"/>
      <c r="O1" s="6"/>
      <c r="P1" s="6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9"/>
      <c r="AE1" s="114"/>
      <c r="AF1" s="416"/>
      <c r="AG1" s="455" t="s">
        <v>120</v>
      </c>
    </row>
    <row r="2" spans="2:33" ht="15.75" thickBot="1">
      <c r="B2" s="1"/>
      <c r="C2" s="113"/>
      <c r="D2" s="2"/>
      <c r="G2" s="4"/>
      <c r="H2" s="6"/>
      <c r="I2" s="6"/>
      <c r="J2" s="5"/>
      <c r="K2" s="7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9"/>
      <c r="AE2" s="114"/>
      <c r="AF2" s="115"/>
      <c r="AG2" s="447"/>
    </row>
    <row r="3" spans="2:33" s="42" customFormat="1" ht="15.75" customHeight="1">
      <c r="B3" s="591" t="s">
        <v>1061</v>
      </c>
      <c r="C3" s="586" t="s">
        <v>463</v>
      </c>
      <c r="D3" s="586" t="s">
        <v>1063</v>
      </c>
      <c r="E3" s="586" t="s">
        <v>1064</v>
      </c>
      <c r="F3" s="586" t="s">
        <v>109</v>
      </c>
      <c r="G3" s="565" t="s">
        <v>563</v>
      </c>
      <c r="H3" s="586" t="s">
        <v>564</v>
      </c>
      <c r="I3" s="586" t="s">
        <v>110</v>
      </c>
      <c r="J3" s="548"/>
      <c r="K3" s="280" t="s">
        <v>565</v>
      </c>
      <c r="L3" s="406"/>
      <c r="M3" s="406"/>
      <c r="N3" s="406"/>
      <c r="O3" s="409"/>
      <c r="P3" s="406" t="s">
        <v>466</v>
      </c>
      <c r="Q3" s="550" t="s">
        <v>1097</v>
      </c>
      <c r="R3" s="586" t="s">
        <v>201</v>
      </c>
      <c r="S3" s="586" t="s">
        <v>202</v>
      </c>
      <c r="T3" s="586" t="s">
        <v>203</v>
      </c>
      <c r="U3" s="586" t="s">
        <v>204</v>
      </c>
      <c r="V3" s="586" t="s">
        <v>205</v>
      </c>
      <c r="W3" s="586" t="s">
        <v>206</v>
      </c>
      <c r="X3" s="586" t="s">
        <v>207</v>
      </c>
      <c r="Y3" s="586" t="s">
        <v>208</v>
      </c>
      <c r="Z3" s="586" t="s">
        <v>209</v>
      </c>
      <c r="AA3" s="586" t="s">
        <v>210</v>
      </c>
      <c r="AB3" s="586" t="s">
        <v>211</v>
      </c>
      <c r="AC3" s="586" t="s">
        <v>307</v>
      </c>
      <c r="AD3" s="562" t="s">
        <v>566</v>
      </c>
      <c r="AE3" s="564" t="s">
        <v>465</v>
      </c>
      <c r="AF3" s="552" t="s">
        <v>308</v>
      </c>
      <c r="AG3" s="633" t="s">
        <v>71</v>
      </c>
    </row>
    <row r="4" spans="2:33" s="116" customFormat="1" ht="79.5" customHeight="1" thickBot="1">
      <c r="B4" s="592"/>
      <c r="C4" s="575"/>
      <c r="D4" s="575"/>
      <c r="E4" s="575"/>
      <c r="F4" s="575"/>
      <c r="G4" s="566"/>
      <c r="H4" s="575"/>
      <c r="I4" s="575"/>
      <c r="J4" s="549"/>
      <c r="K4" s="410" t="s">
        <v>567</v>
      </c>
      <c r="L4" s="410" t="s">
        <v>568</v>
      </c>
      <c r="M4" s="410" t="s">
        <v>569</v>
      </c>
      <c r="N4" s="410" t="s">
        <v>570</v>
      </c>
      <c r="O4" s="410" t="s">
        <v>571</v>
      </c>
      <c r="P4" s="410" t="s">
        <v>571</v>
      </c>
      <c r="Q4" s="590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63"/>
      <c r="AE4" s="551"/>
      <c r="AF4" s="553"/>
      <c r="AG4" s="634"/>
    </row>
    <row r="5" spans="2:33" ht="12.75">
      <c r="B5" s="117"/>
      <c r="C5" s="118"/>
      <c r="D5" s="118"/>
      <c r="E5" s="118"/>
      <c r="F5" s="118"/>
      <c r="G5" s="283"/>
      <c r="H5" s="118"/>
      <c r="I5" s="118"/>
      <c r="J5" s="284"/>
      <c r="K5" s="119"/>
      <c r="L5" s="119"/>
      <c r="M5" s="119"/>
      <c r="N5" s="119"/>
      <c r="O5" s="119"/>
      <c r="P5" s="119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20"/>
      <c r="AE5" s="120"/>
      <c r="AF5" s="121"/>
      <c r="AG5" s="448"/>
    </row>
    <row r="6" spans="2:33" ht="51" customHeight="1" hidden="1">
      <c r="B6" s="117"/>
      <c r="C6" s="118"/>
      <c r="D6" s="118"/>
      <c r="E6" s="118"/>
      <c r="F6" s="118"/>
      <c r="G6" s="411" t="s">
        <v>572</v>
      </c>
      <c r="H6" s="412" t="s">
        <v>573</v>
      </c>
      <c r="I6" s="412" t="s">
        <v>574</v>
      </c>
      <c r="J6" s="284"/>
      <c r="K6" s="119"/>
      <c r="L6" s="119"/>
      <c r="M6" s="119"/>
      <c r="N6" s="119"/>
      <c r="O6" s="119"/>
      <c r="P6" s="119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20"/>
      <c r="AE6" s="120"/>
      <c r="AF6" s="121"/>
      <c r="AG6" s="448"/>
    </row>
    <row r="7" spans="2:33" ht="12.75">
      <c r="B7" s="122" t="s">
        <v>309</v>
      </c>
      <c r="C7" s="123"/>
      <c r="D7" s="123"/>
      <c r="E7" s="124" t="s">
        <v>310</v>
      </c>
      <c r="F7" s="127" t="e">
        <f>#REF!+F8+#REF!+#REF!+#REF!</f>
        <v>#REF!</v>
      </c>
      <c r="G7" s="125" t="e">
        <f>#REF!+G8+#REF!+#REF!+#REF!</f>
        <v>#REF!</v>
      </c>
      <c r="H7" s="127" t="e">
        <f>#REF!+H8+#REF!+#REF!+#REF!</f>
        <v>#REF!</v>
      </c>
      <c r="I7" s="127">
        <f>I8</f>
        <v>233038</v>
      </c>
      <c r="J7" s="285"/>
      <c r="K7" s="126" t="e">
        <f>#REF!+K8+#REF!+#REF!+#REF!</f>
        <v>#REF!</v>
      </c>
      <c r="L7" s="126" t="e">
        <f>#REF!+L8+#REF!+#REF!+#REF!</f>
        <v>#REF!</v>
      </c>
      <c r="M7" s="126" t="e">
        <f>#REF!+M8+#REF!+#REF!+#REF!</f>
        <v>#REF!</v>
      </c>
      <c r="N7" s="126" t="e">
        <f>#REF!+N8+#REF!+#REF!+#REF!</f>
        <v>#REF!</v>
      </c>
      <c r="O7" s="126" t="e">
        <f>#REF!+O8+#REF!+#REF!+#REF!</f>
        <v>#REF!</v>
      </c>
      <c r="P7" s="126" t="e">
        <f>#REF!+P8+#REF!+#REF!+#REF!</f>
        <v>#REF!</v>
      </c>
      <c r="Q7" s="127">
        <f aca="true" t="shared" si="0" ref="Q7:AD7">Q8</f>
        <v>473738</v>
      </c>
      <c r="R7" s="127">
        <f t="shared" si="0"/>
        <v>95.84</v>
      </c>
      <c r="S7" s="127">
        <f t="shared" si="0"/>
        <v>0</v>
      </c>
      <c r="T7" s="127">
        <f t="shared" si="0"/>
        <v>0</v>
      </c>
      <c r="U7" s="127">
        <f t="shared" si="0"/>
        <v>131162.22</v>
      </c>
      <c r="V7" s="127">
        <f t="shared" si="0"/>
        <v>0</v>
      </c>
      <c r="W7" s="127">
        <f t="shared" si="0"/>
        <v>20675.49</v>
      </c>
      <c r="X7" s="127">
        <f t="shared" si="0"/>
        <v>0</v>
      </c>
      <c r="Y7" s="127">
        <f t="shared" si="0"/>
        <v>0</v>
      </c>
      <c r="Z7" s="127">
        <f t="shared" si="0"/>
        <v>0</v>
      </c>
      <c r="AA7" s="127">
        <f t="shared" si="0"/>
        <v>0</v>
      </c>
      <c r="AB7" s="127">
        <f t="shared" si="0"/>
        <v>0</v>
      </c>
      <c r="AC7" s="127">
        <f t="shared" si="0"/>
        <v>0</v>
      </c>
      <c r="AD7" s="127">
        <f t="shared" si="0"/>
        <v>151933.55</v>
      </c>
      <c r="AE7" s="127" t="e">
        <f>#REF!+AE8+#REF!+#REF!+#REF!</f>
        <v>#REF!</v>
      </c>
      <c r="AF7" s="128">
        <f aca="true" t="shared" si="1" ref="AF7:AF22">AD7*100/Q7</f>
        <v>32.071218690499805</v>
      </c>
      <c r="AG7" s="449"/>
    </row>
    <row r="8" spans="2:33" s="42" customFormat="1" ht="25.5">
      <c r="B8" s="129"/>
      <c r="C8" s="44" t="s">
        <v>311</v>
      </c>
      <c r="D8" s="43"/>
      <c r="E8" s="45" t="s">
        <v>312</v>
      </c>
      <c r="F8" s="48">
        <f aca="true" t="shared" si="2" ref="F8:AE8">SUM(F9:F9)</f>
        <v>783329</v>
      </c>
      <c r="G8" s="46">
        <f t="shared" si="2"/>
        <v>320069</v>
      </c>
      <c r="H8" s="48">
        <f t="shared" si="2"/>
        <v>233038</v>
      </c>
      <c r="I8" s="48">
        <f t="shared" si="2"/>
        <v>233038</v>
      </c>
      <c r="J8" s="289"/>
      <c r="K8" s="49">
        <f t="shared" si="2"/>
        <v>0</v>
      </c>
      <c r="L8" s="49">
        <f t="shared" si="2"/>
        <v>0</v>
      </c>
      <c r="M8" s="49">
        <f t="shared" si="2"/>
        <v>0</v>
      </c>
      <c r="N8" s="49">
        <f t="shared" si="2"/>
        <v>240700</v>
      </c>
      <c r="O8" s="49">
        <f t="shared" si="2"/>
        <v>0</v>
      </c>
      <c r="P8" s="49">
        <f t="shared" si="2"/>
        <v>0</v>
      </c>
      <c r="Q8" s="40">
        <f>SUM(Q9:Q9)</f>
        <v>473738</v>
      </c>
      <c r="R8" s="48">
        <f t="shared" si="2"/>
        <v>95.84</v>
      </c>
      <c r="S8" s="48">
        <f t="shared" si="2"/>
        <v>0</v>
      </c>
      <c r="T8" s="48">
        <f t="shared" si="2"/>
        <v>0</v>
      </c>
      <c r="U8" s="48">
        <f t="shared" si="2"/>
        <v>131162.22</v>
      </c>
      <c r="V8" s="48">
        <f t="shared" si="2"/>
        <v>0</v>
      </c>
      <c r="W8" s="48">
        <f t="shared" si="2"/>
        <v>20675.49</v>
      </c>
      <c r="X8" s="48">
        <f t="shared" si="2"/>
        <v>0</v>
      </c>
      <c r="Y8" s="48">
        <f t="shared" si="2"/>
        <v>0</v>
      </c>
      <c r="Z8" s="48">
        <f t="shared" si="2"/>
        <v>0</v>
      </c>
      <c r="AA8" s="48">
        <f t="shared" si="2"/>
        <v>0</v>
      </c>
      <c r="AB8" s="48">
        <f t="shared" si="2"/>
        <v>0</v>
      </c>
      <c r="AC8" s="48">
        <f t="shared" si="2"/>
        <v>0</v>
      </c>
      <c r="AD8" s="48">
        <f t="shared" si="2"/>
        <v>151933.55</v>
      </c>
      <c r="AE8" s="48">
        <f t="shared" si="2"/>
        <v>321804.45</v>
      </c>
      <c r="AF8" s="130">
        <f t="shared" si="1"/>
        <v>32.071218690499805</v>
      </c>
      <c r="AG8" s="450"/>
    </row>
    <row r="9" spans="2:33" s="42" customFormat="1" ht="67.5">
      <c r="B9" s="133"/>
      <c r="C9" s="31"/>
      <c r="D9" s="30">
        <v>6050</v>
      </c>
      <c r="E9" s="32" t="s">
        <v>472</v>
      </c>
      <c r="F9" s="136">
        <v>783329</v>
      </c>
      <c r="G9" s="134">
        <f>15250+42031+136488+31300+15000+25000+55000</f>
        <v>320069</v>
      </c>
      <c r="H9" s="136">
        <f>15250+136488+31300+15000+25000+10000</f>
        <v>233038</v>
      </c>
      <c r="I9" s="136">
        <f>15250+136488+31300+15000+25000+10000</f>
        <v>233038</v>
      </c>
      <c r="J9" s="289" t="s">
        <v>111</v>
      </c>
      <c r="K9" s="135"/>
      <c r="L9" s="135"/>
      <c r="M9" s="135"/>
      <c r="N9" s="135">
        <f>243000-2300</f>
        <v>240700</v>
      </c>
      <c r="O9" s="135"/>
      <c r="P9" s="135"/>
      <c r="Q9" s="131">
        <f>I9+K9+L9+M9+N9+O9+P9</f>
        <v>473738</v>
      </c>
      <c r="R9" s="136">
        <v>95.84</v>
      </c>
      <c r="S9" s="136"/>
      <c r="T9" s="136"/>
      <c r="U9" s="136">
        <f>131081.14+81.08</f>
        <v>131162.22</v>
      </c>
      <c r="V9" s="136"/>
      <c r="W9" s="136">
        <v>20675.49</v>
      </c>
      <c r="X9" s="136"/>
      <c r="Y9" s="136"/>
      <c r="Z9" s="136"/>
      <c r="AA9" s="136"/>
      <c r="AB9" s="136"/>
      <c r="AC9" s="136"/>
      <c r="AD9" s="34">
        <f>SUM(R9:AC9)</f>
        <v>151933.55</v>
      </c>
      <c r="AE9" s="52">
        <f>Q9-AD9</f>
        <v>321804.45</v>
      </c>
      <c r="AF9" s="132">
        <f t="shared" si="1"/>
        <v>32.071218690499805</v>
      </c>
      <c r="AG9" s="446" t="s">
        <v>73</v>
      </c>
    </row>
    <row r="10" spans="2:33" s="42" customFormat="1" ht="12.75">
      <c r="B10" s="140">
        <v>600</v>
      </c>
      <c r="C10" s="141"/>
      <c r="D10" s="141"/>
      <c r="E10" s="142" t="s">
        <v>347</v>
      </c>
      <c r="F10" s="139">
        <f>F14+F11</f>
        <v>285230</v>
      </c>
      <c r="G10" s="137">
        <f>G14+G11</f>
        <v>545000</v>
      </c>
      <c r="H10" s="139">
        <f>H14+H11</f>
        <v>25000</v>
      </c>
      <c r="I10" s="139">
        <f>I14+I11</f>
        <v>20000</v>
      </c>
      <c r="J10" s="292"/>
      <c r="K10" s="138">
        <f aca="true" t="shared" si="3" ref="K10:Z10">K14+K11</f>
        <v>0</v>
      </c>
      <c r="L10" s="138">
        <f t="shared" si="3"/>
        <v>139002</v>
      </c>
      <c r="M10" s="138">
        <f t="shared" si="3"/>
        <v>100000</v>
      </c>
      <c r="N10" s="138">
        <f t="shared" si="3"/>
        <v>120000</v>
      </c>
      <c r="O10" s="138">
        <f t="shared" si="3"/>
        <v>0</v>
      </c>
      <c r="P10" s="138">
        <f t="shared" si="3"/>
        <v>0</v>
      </c>
      <c r="Q10" s="139">
        <f t="shared" si="3"/>
        <v>379002</v>
      </c>
      <c r="R10" s="139">
        <f t="shared" si="3"/>
        <v>0</v>
      </c>
      <c r="S10" s="139">
        <f t="shared" si="3"/>
        <v>0</v>
      </c>
      <c r="T10" s="139">
        <f t="shared" si="3"/>
        <v>0</v>
      </c>
      <c r="U10" s="139">
        <f t="shared" si="3"/>
        <v>0</v>
      </c>
      <c r="V10" s="139">
        <f t="shared" si="3"/>
        <v>0</v>
      </c>
      <c r="W10" s="139">
        <f t="shared" si="3"/>
        <v>0</v>
      </c>
      <c r="X10" s="139">
        <f t="shared" si="3"/>
        <v>0</v>
      </c>
      <c r="Y10" s="139">
        <f t="shared" si="3"/>
        <v>0</v>
      </c>
      <c r="Z10" s="139">
        <f t="shared" si="3"/>
        <v>0</v>
      </c>
      <c r="AA10" s="139">
        <f>AA14+AA11</f>
        <v>0</v>
      </c>
      <c r="AB10" s="139">
        <f>AB14+AB11</f>
        <v>0</v>
      </c>
      <c r="AC10" s="139">
        <f>AC14+AC11</f>
        <v>0</v>
      </c>
      <c r="AD10" s="139">
        <f>AD14+AD11</f>
        <v>0</v>
      </c>
      <c r="AE10" s="139">
        <f>AE14+AE11</f>
        <v>379002</v>
      </c>
      <c r="AF10" s="128">
        <f t="shared" si="1"/>
        <v>0</v>
      </c>
      <c r="AG10" s="449"/>
    </row>
    <row r="11" spans="2:33" s="66" customFormat="1" ht="12.75">
      <c r="B11" s="143"/>
      <c r="C11" s="23">
        <v>60014</v>
      </c>
      <c r="D11" s="23"/>
      <c r="E11" s="24" t="s">
        <v>479</v>
      </c>
      <c r="F11" s="61">
        <f>F13</f>
        <v>90230</v>
      </c>
      <c r="G11" s="60">
        <f>G13</f>
        <v>100000</v>
      </c>
      <c r="H11" s="61">
        <f>H13</f>
        <v>0</v>
      </c>
      <c r="I11" s="61">
        <f>I13</f>
        <v>0</v>
      </c>
      <c r="J11" s="290"/>
      <c r="K11" s="62">
        <f aca="true" t="shared" si="4" ref="K11:Z11">K13</f>
        <v>0</v>
      </c>
      <c r="L11" s="62">
        <f>L13+L12</f>
        <v>139002</v>
      </c>
      <c r="M11" s="62">
        <f>M13+M12</f>
        <v>100000</v>
      </c>
      <c r="N11" s="62">
        <f t="shared" si="4"/>
        <v>0</v>
      </c>
      <c r="O11" s="62">
        <f t="shared" si="4"/>
        <v>0</v>
      </c>
      <c r="P11" s="62">
        <f t="shared" si="4"/>
        <v>0</v>
      </c>
      <c r="Q11" s="40">
        <f>Q13+Q12</f>
        <v>239002</v>
      </c>
      <c r="R11" s="61">
        <f t="shared" si="4"/>
        <v>0</v>
      </c>
      <c r="S11" s="61">
        <f t="shared" si="4"/>
        <v>0</v>
      </c>
      <c r="T11" s="61">
        <f t="shared" si="4"/>
        <v>0</v>
      </c>
      <c r="U11" s="61">
        <f t="shared" si="4"/>
        <v>0</v>
      </c>
      <c r="V11" s="61">
        <f t="shared" si="4"/>
        <v>0</v>
      </c>
      <c r="W11" s="61">
        <f t="shared" si="4"/>
        <v>0</v>
      </c>
      <c r="X11" s="61">
        <f t="shared" si="4"/>
        <v>0</v>
      </c>
      <c r="Y11" s="61">
        <f t="shared" si="4"/>
        <v>0</v>
      </c>
      <c r="Z11" s="61">
        <f t="shared" si="4"/>
        <v>0</v>
      </c>
      <c r="AA11" s="61">
        <f>AA13</f>
        <v>0</v>
      </c>
      <c r="AB11" s="61">
        <f>AB13</f>
        <v>0</v>
      </c>
      <c r="AC11" s="61">
        <f>AC13</f>
        <v>0</v>
      </c>
      <c r="AD11" s="61">
        <f>AD13+AD12</f>
        <v>0</v>
      </c>
      <c r="AE11" s="61">
        <f>AE13+AE12</f>
        <v>239002</v>
      </c>
      <c r="AF11" s="130">
        <f t="shared" si="1"/>
        <v>0</v>
      </c>
      <c r="AG11" s="450"/>
    </row>
    <row r="12" spans="2:33" s="66" customFormat="1" ht="80.25" customHeight="1">
      <c r="B12" s="143"/>
      <c r="C12" s="23"/>
      <c r="D12" s="58">
        <v>6300</v>
      </c>
      <c r="E12" s="59" t="s">
        <v>577</v>
      </c>
      <c r="F12" s="61"/>
      <c r="G12" s="60"/>
      <c r="H12" s="61"/>
      <c r="I12" s="61"/>
      <c r="J12" s="290"/>
      <c r="K12" s="62"/>
      <c r="L12" s="144">
        <v>53901</v>
      </c>
      <c r="M12" s="144">
        <v>100000</v>
      </c>
      <c r="N12" s="62"/>
      <c r="O12" s="62"/>
      <c r="P12" s="62"/>
      <c r="Q12" s="131">
        <f>I12+K12+L12+M12+N12+O12+P12</f>
        <v>153901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34">
        <f>SUM(R12:AC12)</f>
        <v>0</v>
      </c>
      <c r="AE12" s="52">
        <f>Q12-AD12</f>
        <v>153901</v>
      </c>
      <c r="AF12" s="132">
        <f t="shared" si="1"/>
        <v>0</v>
      </c>
      <c r="AG12" s="446" t="s">
        <v>72</v>
      </c>
    </row>
    <row r="13" spans="2:33" s="66" customFormat="1" ht="33" customHeight="1">
      <c r="B13" s="143"/>
      <c r="C13" s="58"/>
      <c r="D13" s="30">
        <v>6050</v>
      </c>
      <c r="E13" s="32" t="s">
        <v>472</v>
      </c>
      <c r="F13" s="69">
        <v>90230</v>
      </c>
      <c r="G13" s="68">
        <v>100000</v>
      </c>
      <c r="H13" s="69"/>
      <c r="I13" s="69"/>
      <c r="J13" s="290" t="s">
        <v>112</v>
      </c>
      <c r="K13" s="70"/>
      <c r="L13" s="70">
        <v>85101</v>
      </c>
      <c r="M13" s="70"/>
      <c r="N13" s="70"/>
      <c r="O13" s="70"/>
      <c r="P13" s="70"/>
      <c r="Q13" s="131">
        <f>I13+K13+L13+M13+N13+O13+P13</f>
        <v>85101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34">
        <f>SUM(R13:AC13)</f>
        <v>0</v>
      </c>
      <c r="AE13" s="52">
        <f>Q13-AD13</f>
        <v>85101</v>
      </c>
      <c r="AF13" s="132">
        <f t="shared" si="1"/>
        <v>0</v>
      </c>
      <c r="AG13" s="446" t="s">
        <v>72</v>
      </c>
    </row>
    <row r="14" spans="2:33" s="42" customFormat="1" ht="12.75" customHeight="1">
      <c r="B14" s="129"/>
      <c r="C14" s="43">
        <v>60016</v>
      </c>
      <c r="D14" s="43"/>
      <c r="E14" s="45" t="s">
        <v>348</v>
      </c>
      <c r="F14" s="48">
        <f>SUM(F15:F15)</f>
        <v>195000</v>
      </c>
      <c r="G14" s="46">
        <f>SUM(G15:G15)</f>
        <v>445000</v>
      </c>
      <c r="H14" s="48">
        <f>SUM(H15:H15)</f>
        <v>25000</v>
      </c>
      <c r="I14" s="48">
        <f>SUM(I15:I15)</f>
        <v>20000</v>
      </c>
      <c r="J14" s="556" t="s">
        <v>113</v>
      </c>
      <c r="K14" s="49">
        <f aca="true" t="shared" si="5" ref="K14:AC14">SUM(K15:K15)</f>
        <v>0</v>
      </c>
      <c r="L14" s="49">
        <f t="shared" si="5"/>
        <v>0</v>
      </c>
      <c r="M14" s="49">
        <f t="shared" si="5"/>
        <v>0</v>
      </c>
      <c r="N14" s="49">
        <f t="shared" si="5"/>
        <v>120000</v>
      </c>
      <c r="O14" s="49">
        <f t="shared" si="5"/>
        <v>0</v>
      </c>
      <c r="P14" s="49">
        <f t="shared" si="5"/>
        <v>0</v>
      </c>
      <c r="Q14" s="40">
        <f t="shared" si="5"/>
        <v>140000</v>
      </c>
      <c r="R14" s="48">
        <f t="shared" si="5"/>
        <v>0</v>
      </c>
      <c r="S14" s="48">
        <f t="shared" si="5"/>
        <v>0</v>
      </c>
      <c r="T14" s="48">
        <f t="shared" si="5"/>
        <v>0</v>
      </c>
      <c r="U14" s="48">
        <f t="shared" si="5"/>
        <v>0</v>
      </c>
      <c r="V14" s="48">
        <f t="shared" si="5"/>
        <v>0</v>
      </c>
      <c r="W14" s="48">
        <f t="shared" si="5"/>
        <v>0</v>
      </c>
      <c r="X14" s="48">
        <f t="shared" si="5"/>
        <v>0</v>
      </c>
      <c r="Y14" s="48">
        <f t="shared" si="5"/>
        <v>0</v>
      </c>
      <c r="Z14" s="48">
        <f t="shared" si="5"/>
        <v>0</v>
      </c>
      <c r="AA14" s="48">
        <f t="shared" si="5"/>
        <v>0</v>
      </c>
      <c r="AB14" s="48">
        <f t="shared" si="5"/>
        <v>0</v>
      </c>
      <c r="AC14" s="48">
        <f t="shared" si="5"/>
        <v>0</v>
      </c>
      <c r="AD14" s="48">
        <f>SUM(AD15:AD15)</f>
        <v>0</v>
      </c>
      <c r="AE14" s="48">
        <f>SUM(AE15:AE15)</f>
        <v>140000</v>
      </c>
      <c r="AF14" s="130">
        <f t="shared" si="1"/>
        <v>0</v>
      </c>
      <c r="AG14" s="450"/>
    </row>
    <row r="15" spans="2:33" s="42" customFormat="1" ht="31.5" customHeight="1">
      <c r="B15" s="133"/>
      <c r="C15" s="31"/>
      <c r="D15" s="30">
        <v>6050</v>
      </c>
      <c r="E15" s="32" t="s">
        <v>472</v>
      </c>
      <c r="F15" s="52">
        <v>195000</v>
      </c>
      <c r="G15" s="51">
        <f>375000+70000</f>
        <v>445000</v>
      </c>
      <c r="H15" s="52">
        <v>25000</v>
      </c>
      <c r="I15" s="52">
        <v>20000</v>
      </c>
      <c r="J15" s="557"/>
      <c r="K15" s="53"/>
      <c r="L15" s="53"/>
      <c r="M15" s="53"/>
      <c r="N15" s="53">
        <f>40200+30000+46500+300+3000</f>
        <v>120000</v>
      </c>
      <c r="O15" s="53"/>
      <c r="P15" s="53"/>
      <c r="Q15" s="131">
        <f>I15+K15+L15+M15+N15+O15+P15</f>
        <v>140000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34">
        <f>SUM(R15:AC15)</f>
        <v>0</v>
      </c>
      <c r="AE15" s="52">
        <f>Q15-AD15</f>
        <v>140000</v>
      </c>
      <c r="AF15" s="132">
        <f t="shared" si="1"/>
        <v>0</v>
      </c>
      <c r="AG15" s="446" t="s">
        <v>72</v>
      </c>
    </row>
    <row r="16" spans="2:33" s="42" customFormat="1" ht="12.75">
      <c r="B16" s="140">
        <v>700</v>
      </c>
      <c r="C16" s="141"/>
      <c r="D16" s="141"/>
      <c r="E16" s="142" t="s">
        <v>351</v>
      </c>
      <c r="F16" s="139" t="e">
        <f>F18+#REF!</f>
        <v>#REF!</v>
      </c>
      <c r="G16" s="137" t="e">
        <f>G18+#REF!</f>
        <v>#REF!</v>
      </c>
      <c r="H16" s="139" t="e">
        <f>H18+#REF!</f>
        <v>#REF!</v>
      </c>
      <c r="I16" s="139">
        <f>I18</f>
        <v>1000000</v>
      </c>
      <c r="J16" s="292"/>
      <c r="K16" s="138" t="e">
        <f>K18+#REF!</f>
        <v>#REF!</v>
      </c>
      <c r="L16" s="138" t="e">
        <f>L18+#REF!</f>
        <v>#REF!</v>
      </c>
      <c r="M16" s="138" t="e">
        <f>M18+#REF!</f>
        <v>#REF!</v>
      </c>
      <c r="N16" s="138" t="e">
        <f>N18+#REF!</f>
        <v>#REF!</v>
      </c>
      <c r="O16" s="138" t="e">
        <f>O18+#REF!</f>
        <v>#REF!</v>
      </c>
      <c r="P16" s="138" t="e">
        <f>P18+#REF!</f>
        <v>#REF!</v>
      </c>
      <c r="Q16" s="139">
        <f aca="true" t="shared" si="6" ref="Q16:AD16">Q18</f>
        <v>1174700</v>
      </c>
      <c r="R16" s="139">
        <f t="shared" si="6"/>
        <v>0</v>
      </c>
      <c r="S16" s="139">
        <f t="shared" si="6"/>
        <v>0</v>
      </c>
      <c r="T16" s="139">
        <f t="shared" si="6"/>
        <v>8098</v>
      </c>
      <c r="U16" s="139">
        <f t="shared" si="6"/>
        <v>51315</v>
      </c>
      <c r="V16" s="139">
        <f t="shared" si="6"/>
        <v>174700</v>
      </c>
      <c r="W16" s="139">
        <f t="shared" si="6"/>
        <v>34704</v>
      </c>
      <c r="X16" s="139">
        <f t="shared" si="6"/>
        <v>0</v>
      </c>
      <c r="Y16" s="139">
        <f t="shared" si="6"/>
        <v>0</v>
      </c>
      <c r="Z16" s="139">
        <f t="shared" si="6"/>
        <v>0</v>
      </c>
      <c r="AA16" s="139">
        <f t="shared" si="6"/>
        <v>0</v>
      </c>
      <c r="AB16" s="139">
        <f t="shared" si="6"/>
        <v>0</v>
      </c>
      <c r="AC16" s="139">
        <f t="shared" si="6"/>
        <v>0</v>
      </c>
      <c r="AD16" s="139">
        <f t="shared" si="6"/>
        <v>268817</v>
      </c>
      <c r="AE16" s="139" t="e">
        <f>AE18+#REF!</f>
        <v>#REF!</v>
      </c>
      <c r="AF16" s="128">
        <f t="shared" si="1"/>
        <v>22.883885247297183</v>
      </c>
      <c r="AG16" s="449"/>
    </row>
    <row r="17" spans="2:33" s="6" customFormat="1" ht="76.5" customHeight="1" hidden="1">
      <c r="B17" s="145"/>
      <c r="C17" s="146"/>
      <c r="D17" s="30">
        <v>6210</v>
      </c>
      <c r="E17" s="32" t="s">
        <v>519</v>
      </c>
      <c r="F17" s="52"/>
      <c r="G17" s="51"/>
      <c r="H17" s="52"/>
      <c r="I17" s="52"/>
      <c r="J17" s="288"/>
      <c r="K17" s="53"/>
      <c r="L17" s="53"/>
      <c r="M17" s="53"/>
      <c r="N17" s="53"/>
      <c r="O17" s="53"/>
      <c r="P17" s="53"/>
      <c r="Q17" s="131">
        <f>I17+K17+L17+M17+N17+O17+P17</f>
        <v>0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34">
        <f>SUM(R17:AC17)</f>
        <v>0</v>
      </c>
      <c r="AE17" s="52">
        <f>Q17-AD17</f>
        <v>0</v>
      </c>
      <c r="AF17" s="132" t="e">
        <f t="shared" si="1"/>
        <v>#DIV/0!</v>
      </c>
      <c r="AG17" s="446"/>
    </row>
    <row r="18" spans="2:33" s="147" customFormat="1" ht="27.75" customHeight="1">
      <c r="B18" s="143"/>
      <c r="C18" s="43">
        <v>70005</v>
      </c>
      <c r="D18" s="43"/>
      <c r="E18" s="45" t="s">
        <v>352</v>
      </c>
      <c r="F18" s="48">
        <f>SUM(F19:F20)</f>
        <v>190891</v>
      </c>
      <c r="G18" s="46">
        <f>SUM(G19:G20)</f>
        <v>1070000</v>
      </c>
      <c r="H18" s="48">
        <f>SUM(H19:H20)</f>
        <v>1000000</v>
      </c>
      <c r="I18" s="48">
        <f>SUM(I19:I20)</f>
        <v>1000000</v>
      </c>
      <c r="J18" s="293"/>
      <c r="K18" s="49">
        <f aca="true" t="shared" si="7" ref="K18:AE18">SUM(K19:K20)</f>
        <v>0</v>
      </c>
      <c r="L18" s="49">
        <f t="shared" si="7"/>
        <v>0</v>
      </c>
      <c r="M18" s="49">
        <f t="shared" si="7"/>
        <v>174700</v>
      </c>
      <c r="N18" s="49">
        <f t="shared" si="7"/>
        <v>0</v>
      </c>
      <c r="O18" s="49">
        <f t="shared" si="7"/>
        <v>0</v>
      </c>
      <c r="P18" s="49">
        <f t="shared" si="7"/>
        <v>0</v>
      </c>
      <c r="Q18" s="40">
        <f t="shared" si="7"/>
        <v>1174700</v>
      </c>
      <c r="R18" s="48">
        <f t="shared" si="7"/>
        <v>0</v>
      </c>
      <c r="S18" s="48">
        <f t="shared" si="7"/>
        <v>0</v>
      </c>
      <c r="T18" s="48">
        <f t="shared" si="7"/>
        <v>8098</v>
      </c>
      <c r="U18" s="48">
        <f t="shared" si="7"/>
        <v>51315</v>
      </c>
      <c r="V18" s="48">
        <f t="shared" si="7"/>
        <v>174700</v>
      </c>
      <c r="W18" s="48">
        <f t="shared" si="7"/>
        <v>34704</v>
      </c>
      <c r="X18" s="48">
        <f t="shared" si="7"/>
        <v>0</v>
      </c>
      <c r="Y18" s="48">
        <f t="shared" si="7"/>
        <v>0</v>
      </c>
      <c r="Z18" s="48">
        <f t="shared" si="7"/>
        <v>0</v>
      </c>
      <c r="AA18" s="48">
        <f t="shared" si="7"/>
        <v>0</v>
      </c>
      <c r="AB18" s="48">
        <f t="shared" si="7"/>
        <v>0</v>
      </c>
      <c r="AC18" s="48">
        <f t="shared" si="7"/>
        <v>0</v>
      </c>
      <c r="AD18" s="48">
        <f t="shared" si="7"/>
        <v>268817</v>
      </c>
      <c r="AE18" s="48">
        <f t="shared" si="7"/>
        <v>905883</v>
      </c>
      <c r="AF18" s="130">
        <f t="shared" si="1"/>
        <v>22.883885247297183</v>
      </c>
      <c r="AG18" s="450"/>
    </row>
    <row r="19" spans="2:33" s="147" customFormat="1" ht="25.5">
      <c r="B19" s="143"/>
      <c r="C19" s="63"/>
      <c r="D19" s="30">
        <v>6050</v>
      </c>
      <c r="E19" s="32" t="s">
        <v>472</v>
      </c>
      <c r="F19" s="69">
        <v>35000</v>
      </c>
      <c r="G19" s="68">
        <v>100000</v>
      </c>
      <c r="H19" s="69">
        <v>40000</v>
      </c>
      <c r="I19" s="69">
        <v>40000</v>
      </c>
      <c r="J19" s="296" t="s">
        <v>627</v>
      </c>
      <c r="K19" s="70"/>
      <c r="L19" s="70"/>
      <c r="M19" s="70"/>
      <c r="N19" s="70"/>
      <c r="O19" s="70"/>
      <c r="P19" s="70"/>
      <c r="Q19" s="131">
        <f>I19+K19+L19+M19+N19+O19+P19</f>
        <v>40000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34">
        <f>SUM(R19:AC19)</f>
        <v>0</v>
      </c>
      <c r="AE19" s="52">
        <f>Q19-AD19</f>
        <v>40000</v>
      </c>
      <c r="AF19" s="132">
        <f t="shared" si="1"/>
        <v>0</v>
      </c>
      <c r="AG19" s="446" t="s">
        <v>72</v>
      </c>
    </row>
    <row r="20" spans="2:33" s="147" customFormat="1" ht="56.25">
      <c r="B20" s="143"/>
      <c r="C20" s="63"/>
      <c r="D20" s="30">
        <v>6060</v>
      </c>
      <c r="E20" s="32" t="s">
        <v>483</v>
      </c>
      <c r="F20" s="69">
        <v>155891</v>
      </c>
      <c r="G20" s="68">
        <f>40000+930000</f>
        <v>970000</v>
      </c>
      <c r="H20" s="69">
        <v>960000</v>
      </c>
      <c r="I20" s="69">
        <v>960000</v>
      </c>
      <c r="J20" s="296" t="s">
        <v>114</v>
      </c>
      <c r="K20" s="70"/>
      <c r="L20" s="70"/>
      <c r="M20" s="70">
        <v>174700</v>
      </c>
      <c r="N20" s="70"/>
      <c r="O20" s="70"/>
      <c r="P20" s="70"/>
      <c r="Q20" s="131">
        <f>I20+K20+L20+M20+N20+O20+P20</f>
        <v>1134700</v>
      </c>
      <c r="R20" s="69"/>
      <c r="S20" s="69"/>
      <c r="T20" s="69">
        <v>8098</v>
      </c>
      <c r="U20" s="69">
        <v>51315</v>
      </c>
      <c r="V20" s="69">
        <v>174700</v>
      </c>
      <c r="W20" s="69">
        <v>34704</v>
      </c>
      <c r="X20" s="69"/>
      <c r="Y20" s="69"/>
      <c r="Z20" s="69"/>
      <c r="AA20" s="69"/>
      <c r="AB20" s="69"/>
      <c r="AC20" s="69"/>
      <c r="AD20" s="34">
        <f>SUM(R20:AC20)</f>
        <v>268817</v>
      </c>
      <c r="AE20" s="52">
        <f>Q20-AD20</f>
        <v>865883</v>
      </c>
      <c r="AF20" s="132">
        <f t="shared" si="1"/>
        <v>23.690579007667225</v>
      </c>
      <c r="AG20" s="336" t="s">
        <v>74</v>
      </c>
    </row>
    <row r="21" spans="2:33" s="42" customFormat="1" ht="12.75">
      <c r="B21" s="140">
        <v>750</v>
      </c>
      <c r="C21" s="141"/>
      <c r="D21" s="141"/>
      <c r="E21" s="142" t="s">
        <v>362</v>
      </c>
      <c r="F21" s="139" t="e">
        <f>#REF!+#REF!+F22+#REF!</f>
        <v>#REF!</v>
      </c>
      <c r="G21" s="137" t="e">
        <f>#REF!+#REF!+G22+#REF!</f>
        <v>#REF!</v>
      </c>
      <c r="H21" s="139" t="e">
        <f>#REF!+#REF!+H22+#REF!</f>
        <v>#REF!</v>
      </c>
      <c r="I21" s="139">
        <f>I22</f>
        <v>15400</v>
      </c>
      <c r="J21" s="292"/>
      <c r="K21" s="138" t="e">
        <f>#REF!+#REF!+K22+#REF!</f>
        <v>#REF!</v>
      </c>
      <c r="L21" s="138" t="e">
        <f>#REF!+#REF!+L22+#REF!</f>
        <v>#REF!</v>
      </c>
      <c r="M21" s="138" t="e">
        <f>#REF!+#REF!+M22+#REF!</f>
        <v>#REF!</v>
      </c>
      <c r="N21" s="138" t="e">
        <f>#REF!+#REF!+N22+#REF!</f>
        <v>#REF!</v>
      </c>
      <c r="O21" s="138" t="e">
        <f>#REF!+#REF!+O22+#REF!</f>
        <v>#REF!</v>
      </c>
      <c r="P21" s="138" t="e">
        <f>#REF!+#REF!+P22+#REF!</f>
        <v>#REF!</v>
      </c>
      <c r="Q21" s="139">
        <f aca="true" t="shared" si="8" ref="Q21:AD21">Q22</f>
        <v>15372</v>
      </c>
      <c r="R21" s="139">
        <f t="shared" si="8"/>
        <v>0</v>
      </c>
      <c r="S21" s="139">
        <f t="shared" si="8"/>
        <v>0</v>
      </c>
      <c r="T21" s="139">
        <f t="shared" si="8"/>
        <v>0</v>
      </c>
      <c r="U21" s="139">
        <f t="shared" si="8"/>
        <v>0</v>
      </c>
      <c r="V21" s="139">
        <f t="shared" si="8"/>
        <v>15372</v>
      </c>
      <c r="W21" s="139">
        <f t="shared" si="8"/>
        <v>0</v>
      </c>
      <c r="X21" s="139">
        <f t="shared" si="8"/>
        <v>0</v>
      </c>
      <c r="Y21" s="139">
        <f t="shared" si="8"/>
        <v>0</v>
      </c>
      <c r="Z21" s="139">
        <f t="shared" si="8"/>
        <v>0</v>
      </c>
      <c r="AA21" s="139">
        <f t="shared" si="8"/>
        <v>0</v>
      </c>
      <c r="AB21" s="139">
        <f t="shared" si="8"/>
        <v>0</v>
      </c>
      <c r="AC21" s="139">
        <f t="shared" si="8"/>
        <v>0</v>
      </c>
      <c r="AD21" s="139">
        <f t="shared" si="8"/>
        <v>15372</v>
      </c>
      <c r="AE21" s="139" t="e">
        <f>#REF!+#REF!+AE22+#REF!</f>
        <v>#REF!</v>
      </c>
      <c r="AF21" s="128">
        <f t="shared" si="1"/>
        <v>100</v>
      </c>
      <c r="AG21" s="449"/>
    </row>
    <row r="22" spans="2:33" s="42" customFormat="1" ht="14.25" customHeight="1">
      <c r="B22" s="129"/>
      <c r="C22" s="43">
        <v>75023</v>
      </c>
      <c r="D22" s="43"/>
      <c r="E22" s="45" t="s">
        <v>366</v>
      </c>
      <c r="F22" s="48">
        <f>SUM(F23:F23)</f>
        <v>100000</v>
      </c>
      <c r="G22" s="46">
        <f>SUM(G23:G23)</f>
        <v>94500</v>
      </c>
      <c r="H22" s="48">
        <f>SUM(H23:H23)</f>
        <v>24300</v>
      </c>
      <c r="I22" s="48">
        <f>SUM(I23:I23)</f>
        <v>15400</v>
      </c>
      <c r="J22" s="289">
        <f>H22-I22</f>
        <v>8900</v>
      </c>
      <c r="K22" s="49">
        <f aca="true" t="shared" si="9" ref="K22:AE22">SUM(K23:K23)</f>
        <v>0</v>
      </c>
      <c r="L22" s="49">
        <f t="shared" si="9"/>
        <v>0</v>
      </c>
      <c r="M22" s="49">
        <f t="shared" si="9"/>
        <v>0</v>
      </c>
      <c r="N22" s="49">
        <f t="shared" si="9"/>
        <v>-28</v>
      </c>
      <c r="O22" s="49">
        <f t="shared" si="9"/>
        <v>0</v>
      </c>
      <c r="P22" s="49">
        <f t="shared" si="9"/>
        <v>0</v>
      </c>
      <c r="Q22" s="40">
        <f t="shared" si="9"/>
        <v>15372</v>
      </c>
      <c r="R22" s="48">
        <f t="shared" si="9"/>
        <v>0</v>
      </c>
      <c r="S22" s="48">
        <f t="shared" si="9"/>
        <v>0</v>
      </c>
      <c r="T22" s="48">
        <f t="shared" si="9"/>
        <v>0</v>
      </c>
      <c r="U22" s="48">
        <f t="shared" si="9"/>
        <v>0</v>
      </c>
      <c r="V22" s="48">
        <f t="shared" si="9"/>
        <v>15372</v>
      </c>
      <c r="W22" s="48">
        <f t="shared" si="9"/>
        <v>0</v>
      </c>
      <c r="X22" s="48">
        <f t="shared" si="9"/>
        <v>0</v>
      </c>
      <c r="Y22" s="48">
        <f t="shared" si="9"/>
        <v>0</v>
      </c>
      <c r="Z22" s="48">
        <f t="shared" si="9"/>
        <v>0</v>
      </c>
      <c r="AA22" s="48">
        <f t="shared" si="9"/>
        <v>0</v>
      </c>
      <c r="AB22" s="48">
        <f t="shared" si="9"/>
        <v>0</v>
      </c>
      <c r="AC22" s="48">
        <f t="shared" si="9"/>
        <v>0</v>
      </c>
      <c r="AD22" s="48">
        <f t="shared" si="9"/>
        <v>15372</v>
      </c>
      <c r="AE22" s="48">
        <f t="shared" si="9"/>
        <v>0</v>
      </c>
      <c r="AF22" s="130">
        <f t="shared" si="1"/>
        <v>100</v>
      </c>
      <c r="AG22" s="450"/>
    </row>
    <row r="23" spans="2:33" s="42" customFormat="1" ht="38.25" customHeight="1">
      <c r="B23" s="129"/>
      <c r="C23" s="30"/>
      <c r="D23" s="30">
        <v>6060</v>
      </c>
      <c r="E23" s="32" t="s">
        <v>483</v>
      </c>
      <c r="F23" s="52">
        <v>100000</v>
      </c>
      <c r="G23" s="51">
        <f>70200+24300</f>
        <v>94500</v>
      </c>
      <c r="H23" s="52">
        <f>24300</f>
        <v>24300</v>
      </c>
      <c r="I23" s="52">
        <v>15400</v>
      </c>
      <c r="J23" s="289" t="s">
        <v>218</v>
      </c>
      <c r="K23" s="53"/>
      <c r="L23" s="53"/>
      <c r="M23" s="53"/>
      <c r="N23" s="51">
        <v>-28</v>
      </c>
      <c r="O23" s="53"/>
      <c r="P23" s="53"/>
      <c r="Q23" s="131">
        <f>I23+K23+L23+M23+N23+O23+P23</f>
        <v>15372</v>
      </c>
      <c r="R23" s="52"/>
      <c r="S23" s="52"/>
      <c r="T23" s="52"/>
      <c r="U23" s="52"/>
      <c r="V23" s="52">
        <v>15372</v>
      </c>
      <c r="W23" s="52"/>
      <c r="X23" s="52"/>
      <c r="Y23" s="52"/>
      <c r="Z23" s="52"/>
      <c r="AA23" s="52"/>
      <c r="AB23" s="52"/>
      <c r="AC23" s="52"/>
      <c r="AD23" s="34">
        <f>SUM(R23:AC23)</f>
        <v>15372</v>
      </c>
      <c r="AE23" s="52">
        <f>Q23-AD23</f>
        <v>0</v>
      </c>
      <c r="AF23" s="132">
        <f aca="true" t="shared" si="10" ref="AF23:AF28">AD23*100/Q23</f>
        <v>100</v>
      </c>
      <c r="AG23" s="446" t="s">
        <v>75</v>
      </c>
    </row>
    <row r="24" spans="2:33" s="42" customFormat="1" ht="25.5">
      <c r="B24" s="140">
        <v>754</v>
      </c>
      <c r="C24" s="141"/>
      <c r="D24" s="141"/>
      <c r="E24" s="142" t="s">
        <v>371</v>
      </c>
      <c r="F24" s="139" t="e">
        <f>#REF!+F25+#REF!</f>
        <v>#REF!</v>
      </c>
      <c r="G24" s="137" t="e">
        <f>#REF!+G25+#REF!</f>
        <v>#REF!</v>
      </c>
      <c r="H24" s="139" t="e">
        <f>#REF!+H25+#REF!</f>
        <v>#REF!</v>
      </c>
      <c r="I24" s="139">
        <f>I25</f>
        <v>3000</v>
      </c>
      <c r="J24" s="292"/>
      <c r="K24" s="138" t="e">
        <f>#REF!+K25+#REF!</f>
        <v>#REF!</v>
      </c>
      <c r="L24" s="138" t="e">
        <f>#REF!+L25+#REF!</f>
        <v>#REF!</v>
      </c>
      <c r="M24" s="138" t="e">
        <f>#REF!+M25+#REF!</f>
        <v>#REF!</v>
      </c>
      <c r="N24" s="138" t="e">
        <f>#REF!+N25+#REF!</f>
        <v>#REF!</v>
      </c>
      <c r="O24" s="138" t="e">
        <f>#REF!+O25+#REF!</f>
        <v>#REF!</v>
      </c>
      <c r="P24" s="138" t="e">
        <f>#REF!+P25+#REF!</f>
        <v>#REF!</v>
      </c>
      <c r="Q24" s="139">
        <f aca="true" t="shared" si="11" ref="Q24:AD24">Q25</f>
        <v>3000</v>
      </c>
      <c r="R24" s="139">
        <f t="shared" si="11"/>
        <v>0</v>
      </c>
      <c r="S24" s="139">
        <f t="shared" si="11"/>
        <v>0</v>
      </c>
      <c r="T24" s="139">
        <f t="shared" si="11"/>
        <v>0</v>
      </c>
      <c r="U24" s="139">
        <f t="shared" si="11"/>
        <v>783.59</v>
      </c>
      <c r="V24" s="139">
        <f t="shared" si="11"/>
        <v>0</v>
      </c>
      <c r="W24" s="139">
        <f t="shared" si="11"/>
        <v>0</v>
      </c>
      <c r="X24" s="139">
        <f t="shared" si="11"/>
        <v>0</v>
      </c>
      <c r="Y24" s="139">
        <f t="shared" si="11"/>
        <v>0</v>
      </c>
      <c r="Z24" s="139">
        <f t="shared" si="11"/>
        <v>0</v>
      </c>
      <c r="AA24" s="139">
        <f t="shared" si="11"/>
        <v>0</v>
      </c>
      <c r="AB24" s="139">
        <f t="shared" si="11"/>
        <v>0</v>
      </c>
      <c r="AC24" s="139">
        <f t="shared" si="11"/>
        <v>0</v>
      </c>
      <c r="AD24" s="139">
        <f t="shared" si="11"/>
        <v>783.59</v>
      </c>
      <c r="AE24" s="139" t="e">
        <f>#REF!+AE25+#REF!</f>
        <v>#REF!</v>
      </c>
      <c r="AF24" s="128">
        <f t="shared" si="10"/>
        <v>26.119666666666667</v>
      </c>
      <c r="AG24" s="449"/>
    </row>
    <row r="25" spans="2:33" s="42" customFormat="1" ht="12.75">
      <c r="B25" s="129"/>
      <c r="C25" s="43">
        <v>75412</v>
      </c>
      <c r="D25" s="43"/>
      <c r="E25" s="45" t="s">
        <v>524</v>
      </c>
      <c r="F25" s="48">
        <f>SUM(F26:F26)</f>
        <v>15000</v>
      </c>
      <c r="G25" s="46">
        <f>SUM(G26:G26)</f>
        <v>5000</v>
      </c>
      <c r="H25" s="48">
        <f>SUM(H26:H26)</f>
        <v>3000</v>
      </c>
      <c r="I25" s="48">
        <f>SUM(I26:I26)</f>
        <v>3000</v>
      </c>
      <c r="J25" s="289"/>
      <c r="K25" s="49">
        <f aca="true" t="shared" si="12" ref="K25:P25">SUM(K26:K26)</f>
        <v>0</v>
      </c>
      <c r="L25" s="49">
        <f t="shared" si="12"/>
        <v>0</v>
      </c>
      <c r="M25" s="49">
        <f t="shared" si="12"/>
        <v>0</v>
      </c>
      <c r="N25" s="49">
        <f t="shared" si="12"/>
        <v>0</v>
      </c>
      <c r="O25" s="49">
        <f t="shared" si="12"/>
        <v>0</v>
      </c>
      <c r="P25" s="49">
        <f t="shared" si="12"/>
        <v>0</v>
      </c>
      <c r="Q25" s="40">
        <f>SUM(Q26:Q27)</f>
        <v>3000</v>
      </c>
      <c r="R25" s="48">
        <f aca="true" t="shared" si="13" ref="R25:AC25">SUM(R26:R26)</f>
        <v>0</v>
      </c>
      <c r="S25" s="48">
        <f t="shared" si="13"/>
        <v>0</v>
      </c>
      <c r="T25" s="48">
        <f t="shared" si="13"/>
        <v>0</v>
      </c>
      <c r="U25" s="48">
        <f t="shared" si="13"/>
        <v>783.59</v>
      </c>
      <c r="V25" s="48">
        <f t="shared" si="13"/>
        <v>0</v>
      </c>
      <c r="W25" s="48">
        <f t="shared" si="13"/>
        <v>0</v>
      </c>
      <c r="X25" s="48">
        <f t="shared" si="13"/>
        <v>0</v>
      </c>
      <c r="Y25" s="48">
        <f t="shared" si="13"/>
        <v>0</v>
      </c>
      <c r="Z25" s="48">
        <f t="shared" si="13"/>
        <v>0</v>
      </c>
      <c r="AA25" s="48">
        <f t="shared" si="13"/>
        <v>0</v>
      </c>
      <c r="AB25" s="48">
        <f t="shared" si="13"/>
        <v>0</v>
      </c>
      <c r="AC25" s="48">
        <f t="shared" si="13"/>
        <v>0</v>
      </c>
      <c r="AD25" s="48">
        <f>SUM(AD26:AD27)</f>
        <v>783.59</v>
      </c>
      <c r="AE25" s="48">
        <f>SUM(AE26:AE27)</f>
        <v>2216.41</v>
      </c>
      <c r="AF25" s="130">
        <f t="shared" si="10"/>
        <v>26.119666666666667</v>
      </c>
      <c r="AG25" s="450"/>
    </row>
    <row r="26" spans="2:33" s="42" customFormat="1" ht="63.75" customHeight="1">
      <c r="B26" s="129"/>
      <c r="C26" s="43"/>
      <c r="D26" s="153">
        <v>6230</v>
      </c>
      <c r="E26" s="154" t="s">
        <v>525</v>
      </c>
      <c r="F26" s="52">
        <v>15000</v>
      </c>
      <c r="G26" s="51">
        <v>5000</v>
      </c>
      <c r="H26" s="52">
        <v>3000</v>
      </c>
      <c r="I26" s="52">
        <v>3000</v>
      </c>
      <c r="J26" s="289" t="s">
        <v>638</v>
      </c>
      <c r="K26" s="53"/>
      <c r="L26" s="53"/>
      <c r="M26" s="53"/>
      <c r="N26" s="53"/>
      <c r="O26" s="53"/>
      <c r="P26" s="53"/>
      <c r="Q26" s="131">
        <f>I26+K26+L26+M26+N26+O26+P26</f>
        <v>3000</v>
      </c>
      <c r="R26" s="52"/>
      <c r="S26" s="52"/>
      <c r="T26" s="52"/>
      <c r="U26" s="52">
        <v>783.59</v>
      </c>
      <c r="V26" s="52"/>
      <c r="W26" s="52"/>
      <c r="X26" s="52"/>
      <c r="Y26" s="52"/>
      <c r="Z26" s="52"/>
      <c r="AA26" s="52"/>
      <c r="AB26" s="52"/>
      <c r="AC26" s="52"/>
      <c r="AD26" s="34">
        <f>SUM(R26:AC26)</f>
        <v>783.59</v>
      </c>
      <c r="AE26" s="52">
        <f>Q26-AD26</f>
        <v>2216.41</v>
      </c>
      <c r="AF26" s="132">
        <f t="shared" si="10"/>
        <v>26.119666666666667</v>
      </c>
      <c r="AG26" s="446" t="s">
        <v>76</v>
      </c>
    </row>
    <row r="27" spans="2:33" s="42" customFormat="1" ht="25.5" customHeight="1" hidden="1">
      <c r="B27" s="129"/>
      <c r="C27" s="30"/>
      <c r="D27" s="30">
        <v>6050</v>
      </c>
      <c r="E27" s="32" t="s">
        <v>472</v>
      </c>
      <c r="F27" s="52"/>
      <c r="G27" s="51"/>
      <c r="H27" s="52"/>
      <c r="I27" s="52"/>
      <c r="J27" s="286"/>
      <c r="K27" s="53"/>
      <c r="L27" s="53"/>
      <c r="M27" s="53"/>
      <c r="N27" s="53"/>
      <c r="O27" s="53"/>
      <c r="P27" s="53"/>
      <c r="Q27" s="131">
        <f>I27+K27+L27+M27+N27+O27+P27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34">
        <f>SUM(R27:AC27)</f>
        <v>0</v>
      </c>
      <c r="AE27" s="52">
        <f>Q27-AD27</f>
        <v>0</v>
      </c>
      <c r="AF27" s="132" t="e">
        <f t="shared" si="10"/>
        <v>#DIV/0!</v>
      </c>
      <c r="AG27" s="446"/>
    </row>
    <row r="28" spans="2:33" s="42" customFormat="1" ht="12.75">
      <c r="B28" s="140">
        <v>801</v>
      </c>
      <c r="C28" s="141"/>
      <c r="D28" s="141"/>
      <c r="E28" s="142" t="s">
        <v>665</v>
      </c>
      <c r="F28" s="139" t="e">
        <f>#REF!+#REF!+F29+#REF!+#REF!+#REF!+#REF!+#REF!</f>
        <v>#REF!</v>
      </c>
      <c r="G28" s="137" t="e">
        <f>#REF!+#REF!+G29+#REF!+#REF!+#REF!+#REF!+#REF!</f>
        <v>#REF!</v>
      </c>
      <c r="H28" s="139" t="e">
        <f>#REF!+#REF!+H29+#REF!+#REF!+#REF!+#REF!+#REF!</f>
        <v>#REF!</v>
      </c>
      <c r="I28" s="139">
        <f>I29</f>
        <v>5742707</v>
      </c>
      <c r="J28" s="292"/>
      <c r="K28" s="138" t="e">
        <f>#REF!+#REF!+K29+#REF!+#REF!+#REF!+#REF!+#REF!</f>
        <v>#REF!</v>
      </c>
      <c r="L28" s="138" t="e">
        <f>#REF!+#REF!+L29+#REF!+#REF!+#REF!+#REF!+#REF!</f>
        <v>#REF!</v>
      </c>
      <c r="M28" s="138" t="e">
        <f>#REF!+#REF!+M29+#REF!+#REF!+#REF!+#REF!+#REF!</f>
        <v>#REF!</v>
      </c>
      <c r="N28" s="138" t="e">
        <f>#REF!+#REF!+N29+#REF!+#REF!+#REF!+#REF!+#REF!</f>
        <v>#REF!</v>
      </c>
      <c r="O28" s="138" t="e">
        <f>#REF!+#REF!+O29+#REF!+#REF!+#REF!+#REF!+#REF!</f>
        <v>#REF!</v>
      </c>
      <c r="P28" s="138" t="e">
        <f>#REF!+#REF!+P29+#REF!+#REF!+#REF!+#REF!+#REF!</f>
        <v>#REF!</v>
      </c>
      <c r="Q28" s="139">
        <f aca="true" t="shared" si="14" ref="Q28:AD28">Q29</f>
        <v>11492802</v>
      </c>
      <c r="R28" s="139">
        <f t="shared" si="14"/>
        <v>5532934.62</v>
      </c>
      <c r="S28" s="139">
        <f t="shared" si="14"/>
        <v>0</v>
      </c>
      <c r="T28" s="139">
        <f t="shared" si="14"/>
        <v>0</v>
      </c>
      <c r="U28" s="139">
        <f t="shared" si="14"/>
        <v>4575</v>
      </c>
      <c r="V28" s="139">
        <f t="shared" si="14"/>
        <v>0</v>
      </c>
      <c r="W28" s="139">
        <f t="shared" si="14"/>
        <v>2121962.9299999997</v>
      </c>
      <c r="X28" s="139">
        <f t="shared" si="14"/>
        <v>0</v>
      </c>
      <c r="Y28" s="139">
        <f t="shared" si="14"/>
        <v>0</v>
      </c>
      <c r="Z28" s="139">
        <f t="shared" si="14"/>
        <v>0</v>
      </c>
      <c r="AA28" s="139">
        <f t="shared" si="14"/>
        <v>0</v>
      </c>
      <c r="AB28" s="139">
        <f t="shared" si="14"/>
        <v>0</v>
      </c>
      <c r="AC28" s="139">
        <f t="shared" si="14"/>
        <v>0</v>
      </c>
      <c r="AD28" s="139">
        <f t="shared" si="14"/>
        <v>7659472.55</v>
      </c>
      <c r="AE28" s="139" t="e">
        <f>#REF!+#REF!+AE29+#REF!+#REF!+#REF!+#REF!+#REF!</f>
        <v>#REF!</v>
      </c>
      <c r="AF28" s="128">
        <f t="shared" si="10"/>
        <v>66.64582362073234</v>
      </c>
      <c r="AG28" s="449"/>
    </row>
    <row r="29" spans="2:33" s="42" customFormat="1" ht="12.75">
      <c r="B29" s="129"/>
      <c r="C29" s="43">
        <v>80110</v>
      </c>
      <c r="D29" s="43"/>
      <c r="E29" s="45" t="s">
        <v>673</v>
      </c>
      <c r="F29" s="48">
        <f>SUM(F30:F31)</f>
        <v>5905970</v>
      </c>
      <c r="G29" s="46">
        <f>SUM(G30:G31)</f>
        <v>5742707</v>
      </c>
      <c r="H29" s="48">
        <f>SUM(H30:H31)</f>
        <v>5742707</v>
      </c>
      <c r="I29" s="48">
        <f>SUM(I30:I31)</f>
        <v>5742707</v>
      </c>
      <c r="J29" s="289"/>
      <c r="K29" s="49">
        <f aca="true" t="shared" si="15" ref="K29:AE29">SUM(K30:K31)</f>
        <v>5750095</v>
      </c>
      <c r="L29" s="49">
        <f t="shared" si="15"/>
        <v>0</v>
      </c>
      <c r="M29" s="49">
        <f t="shared" si="15"/>
        <v>0</v>
      </c>
      <c r="N29" s="49">
        <f t="shared" si="15"/>
        <v>0</v>
      </c>
      <c r="O29" s="49">
        <f t="shared" si="15"/>
        <v>0</v>
      </c>
      <c r="P29" s="49">
        <f t="shared" si="15"/>
        <v>0</v>
      </c>
      <c r="Q29" s="40">
        <f t="shared" si="15"/>
        <v>11492802</v>
      </c>
      <c r="R29" s="48">
        <f t="shared" si="15"/>
        <v>5532934.62</v>
      </c>
      <c r="S29" s="48">
        <f t="shared" si="15"/>
        <v>0</v>
      </c>
      <c r="T29" s="48">
        <f t="shared" si="15"/>
        <v>0</v>
      </c>
      <c r="U29" s="48">
        <f t="shared" si="15"/>
        <v>4575</v>
      </c>
      <c r="V29" s="48">
        <f t="shared" si="15"/>
        <v>0</v>
      </c>
      <c r="W29" s="48">
        <f t="shared" si="15"/>
        <v>2121962.9299999997</v>
      </c>
      <c r="X29" s="48">
        <f t="shared" si="15"/>
        <v>0</v>
      </c>
      <c r="Y29" s="48">
        <f t="shared" si="15"/>
        <v>0</v>
      </c>
      <c r="Z29" s="48">
        <f t="shared" si="15"/>
        <v>0</v>
      </c>
      <c r="AA29" s="48">
        <f t="shared" si="15"/>
        <v>0</v>
      </c>
      <c r="AB29" s="48">
        <f t="shared" si="15"/>
        <v>0</v>
      </c>
      <c r="AC29" s="48">
        <f t="shared" si="15"/>
        <v>0</v>
      </c>
      <c r="AD29" s="48">
        <f t="shared" si="15"/>
        <v>7659472.55</v>
      </c>
      <c r="AE29" s="48">
        <f t="shared" si="15"/>
        <v>3833329.45</v>
      </c>
      <c r="AF29" s="130">
        <f>AD29*100/Q29</f>
        <v>66.64582362073234</v>
      </c>
      <c r="AG29" s="450"/>
    </row>
    <row r="30" spans="2:33" s="42" customFormat="1" ht="29.25" customHeight="1">
      <c r="B30" s="129"/>
      <c r="C30" s="43"/>
      <c r="D30" s="30">
        <v>6058</v>
      </c>
      <c r="E30" s="32" t="s">
        <v>472</v>
      </c>
      <c r="F30" s="52">
        <v>3643686</v>
      </c>
      <c r="G30" s="51">
        <v>3380587</v>
      </c>
      <c r="H30" s="52">
        <v>3380587</v>
      </c>
      <c r="I30" s="52">
        <f>3380587</f>
        <v>3380587</v>
      </c>
      <c r="J30" s="289" t="s">
        <v>115</v>
      </c>
      <c r="K30" s="53">
        <v>3643686</v>
      </c>
      <c r="L30" s="53"/>
      <c r="M30" s="53"/>
      <c r="N30" s="53"/>
      <c r="O30" s="53"/>
      <c r="P30" s="53"/>
      <c r="Q30" s="131">
        <f>I30+K30+L30+M30+N30+O30+P30</f>
        <v>7024273</v>
      </c>
      <c r="R30" s="52">
        <v>3412738.85</v>
      </c>
      <c r="S30" s="52"/>
      <c r="T30" s="52"/>
      <c r="U30" s="52"/>
      <c r="V30" s="52"/>
      <c r="W30" s="52">
        <v>1308836.23</v>
      </c>
      <c r="X30" s="52"/>
      <c r="Y30" s="52"/>
      <c r="Z30" s="52"/>
      <c r="AA30" s="52"/>
      <c r="AB30" s="52"/>
      <c r="AC30" s="52"/>
      <c r="AD30" s="34">
        <f>SUM(R30:AC30)</f>
        <v>4721575.08</v>
      </c>
      <c r="AE30" s="52">
        <f>Q30-AD30</f>
        <v>2302697.92</v>
      </c>
      <c r="AF30" s="132">
        <f>AD30*100/Q30</f>
        <v>67.2179893919271</v>
      </c>
      <c r="AG30" s="631" t="s">
        <v>77</v>
      </c>
    </row>
    <row r="31" spans="2:33" s="42" customFormat="1" ht="29.25" customHeight="1">
      <c r="B31" s="129"/>
      <c r="C31" s="43"/>
      <c r="D31" s="30">
        <v>6059</v>
      </c>
      <c r="E31" s="32" t="s">
        <v>472</v>
      </c>
      <c r="F31" s="52">
        <v>2262284</v>
      </c>
      <c r="G31" s="51">
        <f>2100222+261898</f>
        <v>2362120</v>
      </c>
      <c r="H31" s="52">
        <f>2100222+261898</f>
        <v>2362120</v>
      </c>
      <c r="I31" s="52">
        <f>2100222+261898</f>
        <v>2362120</v>
      </c>
      <c r="J31" s="289" t="s">
        <v>116</v>
      </c>
      <c r="K31" s="53">
        <v>2106409</v>
      </c>
      <c r="L31" s="53"/>
      <c r="M31" s="53"/>
      <c r="N31" s="53"/>
      <c r="O31" s="53"/>
      <c r="P31" s="53"/>
      <c r="Q31" s="131">
        <f>I31+K31+L31+M31+N31+O31+P31</f>
        <v>4468529</v>
      </c>
      <c r="R31" s="52">
        <v>2120195.77</v>
      </c>
      <c r="S31" s="52"/>
      <c r="T31" s="52"/>
      <c r="U31" s="52">
        <v>4575</v>
      </c>
      <c r="V31" s="52"/>
      <c r="W31" s="52">
        <v>813126.7</v>
      </c>
      <c r="X31" s="52"/>
      <c r="Y31" s="52"/>
      <c r="Z31" s="52"/>
      <c r="AA31" s="52"/>
      <c r="AB31" s="52"/>
      <c r="AC31" s="52"/>
      <c r="AD31" s="34">
        <f>SUM(R31:AC31)</f>
        <v>2937897.4699999997</v>
      </c>
      <c r="AE31" s="52">
        <f>Q31-AD31</f>
        <v>1530631.5300000003</v>
      </c>
      <c r="AF31" s="132">
        <f>AD31*100/Q31</f>
        <v>65.74641162673444</v>
      </c>
      <c r="AG31" s="632"/>
    </row>
    <row r="32" spans="2:33" s="42" customFormat="1" ht="25.5" customHeight="1" hidden="1">
      <c r="B32" s="129"/>
      <c r="C32" s="30"/>
      <c r="D32" s="30">
        <v>6060</v>
      </c>
      <c r="E32" s="32" t="s">
        <v>483</v>
      </c>
      <c r="F32" s="52"/>
      <c r="G32" s="51"/>
      <c r="H32" s="52"/>
      <c r="I32" s="52"/>
      <c r="J32" s="288"/>
      <c r="K32" s="53"/>
      <c r="L32" s="53"/>
      <c r="M32" s="53"/>
      <c r="N32" s="53"/>
      <c r="O32" s="53"/>
      <c r="P32" s="53"/>
      <c r="Q32" s="131">
        <f>I32+K32+L32+M32+N32+O32+P32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34">
        <f>SUM(R32:AC32)</f>
        <v>0</v>
      </c>
      <c r="AE32" s="52">
        <f>Q32-AD32</f>
        <v>0</v>
      </c>
      <c r="AF32" s="132" t="e">
        <f>AD32*100/Q32</f>
        <v>#DIV/0!</v>
      </c>
      <c r="AG32" s="446"/>
    </row>
    <row r="33" spans="2:33" s="42" customFormat="1" ht="12.75" customHeight="1" hidden="1">
      <c r="B33" s="129"/>
      <c r="C33" s="43">
        <v>85195</v>
      </c>
      <c r="D33" s="43"/>
      <c r="E33" s="45" t="s">
        <v>317</v>
      </c>
      <c r="F33" s="48">
        <f>F34</f>
        <v>0</v>
      </c>
      <c r="G33" s="46">
        <f>G34</f>
        <v>0</v>
      </c>
      <c r="H33" s="48">
        <f>H34</f>
        <v>0</v>
      </c>
      <c r="I33" s="48">
        <f>I34</f>
        <v>0</v>
      </c>
      <c r="J33" s="288"/>
      <c r="K33" s="49">
        <f aca="true" t="shared" si="16" ref="K33:P33">K34</f>
        <v>0</v>
      </c>
      <c r="L33" s="49">
        <f t="shared" si="16"/>
        <v>0</v>
      </c>
      <c r="M33" s="49">
        <f t="shared" si="16"/>
        <v>0</v>
      </c>
      <c r="N33" s="49">
        <f t="shared" si="16"/>
        <v>0</v>
      </c>
      <c r="O33" s="49">
        <f t="shared" si="16"/>
        <v>0</v>
      </c>
      <c r="P33" s="49">
        <f t="shared" si="16"/>
        <v>0</v>
      </c>
      <c r="Q33" s="156">
        <f>Q34+Q35</f>
        <v>0</v>
      </c>
      <c r="R33" s="48">
        <f>R34</f>
        <v>0</v>
      </c>
      <c r="S33" s="48">
        <f aca="true" t="shared" si="17" ref="S33:AC33">S34</f>
        <v>0</v>
      </c>
      <c r="T33" s="48">
        <f t="shared" si="17"/>
        <v>0</v>
      </c>
      <c r="U33" s="48">
        <f t="shared" si="17"/>
        <v>0</v>
      </c>
      <c r="V33" s="48">
        <f t="shared" si="17"/>
        <v>0</v>
      </c>
      <c r="W33" s="48">
        <f t="shared" si="17"/>
        <v>0</v>
      </c>
      <c r="X33" s="48">
        <f t="shared" si="17"/>
        <v>0</v>
      </c>
      <c r="Y33" s="48">
        <f t="shared" si="17"/>
        <v>0</v>
      </c>
      <c r="Z33" s="48">
        <f t="shared" si="17"/>
        <v>0</v>
      </c>
      <c r="AA33" s="48">
        <f t="shared" si="17"/>
        <v>0</v>
      </c>
      <c r="AB33" s="48">
        <f t="shared" si="17"/>
        <v>0</v>
      </c>
      <c r="AC33" s="48">
        <f t="shared" si="17"/>
        <v>0</v>
      </c>
      <c r="AD33" s="72">
        <f>AD34+AD35</f>
        <v>0</v>
      </c>
      <c r="AE33" s="72">
        <f>AE34+AE35</f>
        <v>0</v>
      </c>
      <c r="AF33" s="157" t="e">
        <f>AD33*100/Q33</f>
        <v>#DIV/0!</v>
      </c>
      <c r="AG33" s="450"/>
    </row>
    <row r="34" spans="2:33" s="42" customFormat="1" ht="63.75" customHeight="1" hidden="1">
      <c r="B34" s="129"/>
      <c r="C34" s="43"/>
      <c r="D34" s="58">
        <v>2710</v>
      </c>
      <c r="E34" s="59" t="s">
        <v>480</v>
      </c>
      <c r="F34" s="48"/>
      <c r="G34" s="46"/>
      <c r="H34" s="48"/>
      <c r="I34" s="48"/>
      <c r="J34" s="289" t="s">
        <v>392</v>
      </c>
      <c r="K34" s="49"/>
      <c r="L34" s="49"/>
      <c r="M34" s="49"/>
      <c r="N34" s="49"/>
      <c r="O34" s="49"/>
      <c r="P34" s="49"/>
      <c r="Q34" s="131">
        <f>I34+K34+L34+M34+N34+O34+P34</f>
        <v>0</v>
      </c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34">
        <f>SUM(R34:AC34)</f>
        <v>0</v>
      </c>
      <c r="AE34" s="52">
        <f>Q34-AD34</f>
        <v>0</v>
      </c>
      <c r="AF34" s="132"/>
      <c r="AG34" s="446"/>
    </row>
    <row r="35" spans="2:33" s="42" customFormat="1" ht="75.75" customHeight="1" hidden="1">
      <c r="B35" s="129"/>
      <c r="C35" s="43"/>
      <c r="D35" s="58">
        <v>6300</v>
      </c>
      <c r="E35" s="59" t="s">
        <v>544</v>
      </c>
      <c r="F35" s="48"/>
      <c r="G35" s="46"/>
      <c r="H35" s="48"/>
      <c r="I35" s="48"/>
      <c r="J35" s="289"/>
      <c r="K35" s="49"/>
      <c r="L35" s="49"/>
      <c r="M35" s="49"/>
      <c r="N35" s="49"/>
      <c r="O35" s="49"/>
      <c r="P35" s="49"/>
      <c r="Q35" s="131">
        <f>I35+K35+L35+M35+N35+O35+P35</f>
        <v>0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34">
        <f>SUM(R35:AC35)</f>
        <v>0</v>
      </c>
      <c r="AE35" s="52">
        <f>Q35-AD35</f>
        <v>0</v>
      </c>
      <c r="AF35" s="132" t="e">
        <f aca="true" t="shared" si="18" ref="AF35:AF42">AD35*100/Q35</f>
        <v>#DIV/0!</v>
      </c>
      <c r="AG35" s="446"/>
    </row>
    <row r="36" spans="2:33" s="42" customFormat="1" ht="25.5">
      <c r="B36" s="140">
        <v>900</v>
      </c>
      <c r="C36" s="141"/>
      <c r="D36" s="141"/>
      <c r="E36" s="142" t="s">
        <v>457</v>
      </c>
      <c r="F36" s="139">
        <f>F39+F42+F37</f>
        <v>253643</v>
      </c>
      <c r="G36" s="137">
        <f>G39+G42+G37</f>
        <v>234638</v>
      </c>
      <c r="H36" s="139">
        <f>H39+H42+H37</f>
        <v>79638</v>
      </c>
      <c r="I36" s="139">
        <f>I39+I42+I37</f>
        <v>79638</v>
      </c>
      <c r="J36" s="292"/>
      <c r="K36" s="138">
        <f aca="true" t="shared" si="19" ref="K36:AE36">K39+K42+K37</f>
        <v>170000</v>
      </c>
      <c r="L36" s="138">
        <f t="shared" si="19"/>
        <v>0</v>
      </c>
      <c r="M36" s="138">
        <f t="shared" si="19"/>
        <v>0</v>
      </c>
      <c r="N36" s="137">
        <f t="shared" si="19"/>
        <v>-27700</v>
      </c>
      <c r="O36" s="138">
        <f t="shared" si="19"/>
        <v>0</v>
      </c>
      <c r="P36" s="138">
        <f t="shared" si="19"/>
        <v>0</v>
      </c>
      <c r="Q36" s="139">
        <f t="shared" si="19"/>
        <v>221938</v>
      </c>
      <c r="R36" s="139">
        <f t="shared" si="19"/>
        <v>0</v>
      </c>
      <c r="S36" s="139">
        <f t="shared" si="19"/>
        <v>0</v>
      </c>
      <c r="T36" s="139">
        <f t="shared" si="19"/>
        <v>0</v>
      </c>
      <c r="U36" s="139">
        <f t="shared" si="19"/>
        <v>17724.16</v>
      </c>
      <c r="V36" s="139">
        <f t="shared" si="19"/>
        <v>0</v>
      </c>
      <c r="W36" s="139">
        <f t="shared" si="19"/>
        <v>0</v>
      </c>
      <c r="X36" s="139">
        <f t="shared" si="19"/>
        <v>0</v>
      </c>
      <c r="Y36" s="139">
        <f t="shared" si="19"/>
        <v>0</v>
      </c>
      <c r="Z36" s="139">
        <f t="shared" si="19"/>
        <v>0</v>
      </c>
      <c r="AA36" s="139">
        <f t="shared" si="19"/>
        <v>0</v>
      </c>
      <c r="AB36" s="139">
        <f t="shared" si="19"/>
        <v>0</v>
      </c>
      <c r="AC36" s="139">
        <f t="shared" si="19"/>
        <v>0</v>
      </c>
      <c r="AD36" s="139">
        <f t="shared" si="19"/>
        <v>17724.16</v>
      </c>
      <c r="AE36" s="139">
        <f t="shared" si="19"/>
        <v>204213.84</v>
      </c>
      <c r="AF36" s="128">
        <f t="shared" si="18"/>
        <v>7.986086204255242</v>
      </c>
      <c r="AG36" s="449"/>
    </row>
    <row r="37" spans="2:33" s="66" customFormat="1" ht="25.5">
      <c r="B37" s="143"/>
      <c r="C37" s="23">
        <v>90001</v>
      </c>
      <c r="D37" s="23"/>
      <c r="E37" s="24" t="s">
        <v>458</v>
      </c>
      <c r="F37" s="61">
        <f>F38</f>
        <v>0</v>
      </c>
      <c r="G37" s="60">
        <f>G38</f>
        <v>140000</v>
      </c>
      <c r="H37" s="61">
        <f>H38</f>
        <v>20000</v>
      </c>
      <c r="I37" s="61">
        <f>I38</f>
        <v>20000</v>
      </c>
      <c r="J37" s="291"/>
      <c r="K37" s="62">
        <f aca="true" t="shared" si="20" ref="K37:AC37">K38</f>
        <v>0</v>
      </c>
      <c r="L37" s="62">
        <f t="shared" si="20"/>
        <v>0</v>
      </c>
      <c r="M37" s="62">
        <f t="shared" si="20"/>
        <v>0</v>
      </c>
      <c r="N37" s="62">
        <f t="shared" si="20"/>
        <v>2300</v>
      </c>
      <c r="O37" s="62">
        <f t="shared" si="20"/>
        <v>0</v>
      </c>
      <c r="P37" s="62">
        <f t="shared" si="20"/>
        <v>0</v>
      </c>
      <c r="Q37" s="40">
        <f t="shared" si="20"/>
        <v>22300</v>
      </c>
      <c r="R37" s="61">
        <f t="shared" si="20"/>
        <v>0</v>
      </c>
      <c r="S37" s="61">
        <f t="shared" si="20"/>
        <v>0</v>
      </c>
      <c r="T37" s="61">
        <f t="shared" si="20"/>
        <v>0</v>
      </c>
      <c r="U37" s="61">
        <f t="shared" si="20"/>
        <v>0</v>
      </c>
      <c r="V37" s="61">
        <f t="shared" si="20"/>
        <v>0</v>
      </c>
      <c r="W37" s="61">
        <f t="shared" si="20"/>
        <v>0</v>
      </c>
      <c r="X37" s="61">
        <f t="shared" si="20"/>
        <v>0</v>
      </c>
      <c r="Y37" s="61">
        <f t="shared" si="20"/>
        <v>0</v>
      </c>
      <c r="Z37" s="61">
        <f t="shared" si="20"/>
        <v>0</v>
      </c>
      <c r="AA37" s="61">
        <f t="shared" si="20"/>
        <v>0</v>
      </c>
      <c r="AB37" s="61">
        <f t="shared" si="20"/>
        <v>0</v>
      </c>
      <c r="AC37" s="61">
        <f t="shared" si="20"/>
        <v>0</v>
      </c>
      <c r="AD37" s="61">
        <f>AD38</f>
        <v>0</v>
      </c>
      <c r="AE37" s="61">
        <f>AE38</f>
        <v>22300</v>
      </c>
      <c r="AF37" s="130">
        <f t="shared" si="18"/>
        <v>0</v>
      </c>
      <c r="AG37" s="450"/>
    </row>
    <row r="38" spans="2:33" s="66" customFormat="1" ht="28.5" customHeight="1">
      <c r="B38" s="143"/>
      <c r="C38" s="63"/>
      <c r="D38" s="30">
        <v>6050</v>
      </c>
      <c r="E38" s="32" t="s">
        <v>472</v>
      </c>
      <c r="F38" s="69">
        <v>0</v>
      </c>
      <c r="G38" s="68">
        <v>140000</v>
      </c>
      <c r="H38" s="69">
        <v>20000</v>
      </c>
      <c r="I38" s="69">
        <v>20000</v>
      </c>
      <c r="J38" s="291" t="s">
        <v>117</v>
      </c>
      <c r="K38" s="70"/>
      <c r="L38" s="70"/>
      <c r="M38" s="70"/>
      <c r="N38" s="70">
        <v>2300</v>
      </c>
      <c r="O38" s="70"/>
      <c r="P38" s="70"/>
      <c r="Q38" s="131">
        <f aca="true" t="shared" si="21" ref="Q38:Q43">I38+K38+L38+M38+N38+O38+P38</f>
        <v>22300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34">
        <f>SUM(R38:AC38)</f>
        <v>0</v>
      </c>
      <c r="AE38" s="52">
        <f>Q38-AD38</f>
        <v>22300</v>
      </c>
      <c r="AF38" s="132">
        <f t="shared" si="18"/>
        <v>0</v>
      </c>
      <c r="AG38" s="446"/>
    </row>
    <row r="39" spans="2:33" s="42" customFormat="1" ht="25.5">
      <c r="B39" s="129"/>
      <c r="C39" s="43">
        <v>90015</v>
      </c>
      <c r="D39" s="43"/>
      <c r="E39" s="45" t="s">
        <v>124</v>
      </c>
      <c r="F39" s="48">
        <f>SUM(F40:F41)</f>
        <v>15343</v>
      </c>
      <c r="G39" s="46">
        <f>SUM(G40:G41)</f>
        <v>24638</v>
      </c>
      <c r="H39" s="48">
        <f>SUM(H40:H41)</f>
        <v>24638</v>
      </c>
      <c r="I39" s="48">
        <f>SUM(I40:I41)</f>
        <v>24638</v>
      </c>
      <c r="J39" s="289"/>
      <c r="K39" s="49">
        <f aca="true" t="shared" si="22" ref="K39:AE39">SUM(K40:K41)</f>
        <v>170000</v>
      </c>
      <c r="L39" s="49">
        <f t="shared" si="22"/>
        <v>0</v>
      </c>
      <c r="M39" s="49">
        <f t="shared" si="22"/>
        <v>0</v>
      </c>
      <c r="N39" s="49">
        <f t="shared" si="22"/>
        <v>0</v>
      </c>
      <c r="O39" s="49">
        <f t="shared" si="22"/>
        <v>0</v>
      </c>
      <c r="P39" s="49">
        <f t="shared" si="22"/>
        <v>0</v>
      </c>
      <c r="Q39" s="40">
        <f t="shared" si="22"/>
        <v>194638</v>
      </c>
      <c r="R39" s="48">
        <f t="shared" si="22"/>
        <v>0</v>
      </c>
      <c r="S39" s="48">
        <f t="shared" si="22"/>
        <v>0</v>
      </c>
      <c r="T39" s="48">
        <f t="shared" si="22"/>
        <v>0</v>
      </c>
      <c r="U39" s="48">
        <f t="shared" si="22"/>
        <v>17724.16</v>
      </c>
      <c r="V39" s="48">
        <f t="shared" si="22"/>
        <v>0</v>
      </c>
      <c r="W39" s="48">
        <f t="shared" si="22"/>
        <v>0</v>
      </c>
      <c r="X39" s="48">
        <f t="shared" si="22"/>
        <v>0</v>
      </c>
      <c r="Y39" s="48">
        <f t="shared" si="22"/>
        <v>0</v>
      </c>
      <c r="Z39" s="48">
        <f t="shared" si="22"/>
        <v>0</v>
      </c>
      <c r="AA39" s="48">
        <f t="shared" si="22"/>
        <v>0</v>
      </c>
      <c r="AB39" s="48">
        <f t="shared" si="22"/>
        <v>0</v>
      </c>
      <c r="AC39" s="48">
        <f t="shared" si="22"/>
        <v>0</v>
      </c>
      <c r="AD39" s="48">
        <f t="shared" si="22"/>
        <v>17724.16</v>
      </c>
      <c r="AE39" s="48">
        <f t="shared" si="22"/>
        <v>176913.84</v>
      </c>
      <c r="AF39" s="130">
        <f t="shared" si="18"/>
        <v>9.106217696441599</v>
      </c>
      <c r="AG39" s="450"/>
    </row>
    <row r="40" spans="2:33" s="42" customFormat="1" ht="51" customHeight="1" hidden="1">
      <c r="B40" s="129"/>
      <c r="C40" s="30"/>
      <c r="D40" s="30">
        <v>4300</v>
      </c>
      <c r="E40" s="32" t="s">
        <v>471</v>
      </c>
      <c r="F40" s="52"/>
      <c r="G40" s="51"/>
      <c r="H40" s="52"/>
      <c r="I40" s="52"/>
      <c r="J40" s="289" t="s">
        <v>408</v>
      </c>
      <c r="K40" s="53"/>
      <c r="L40" s="53"/>
      <c r="M40" s="53"/>
      <c r="N40" s="53"/>
      <c r="O40" s="53"/>
      <c r="P40" s="53"/>
      <c r="Q40" s="131">
        <f t="shared" si="21"/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34">
        <f>SUM(R40:AC40)</f>
        <v>0</v>
      </c>
      <c r="AE40" s="52">
        <f>Q40-AD40</f>
        <v>0</v>
      </c>
      <c r="AF40" s="132" t="e">
        <f t="shared" si="18"/>
        <v>#DIV/0!</v>
      </c>
      <c r="AG40" s="446"/>
    </row>
    <row r="41" spans="2:33" s="42" customFormat="1" ht="36.75" customHeight="1">
      <c r="B41" s="129"/>
      <c r="C41" s="30"/>
      <c r="D41" s="30">
        <v>6050</v>
      </c>
      <c r="E41" s="32" t="s">
        <v>472</v>
      </c>
      <c r="F41" s="52">
        <v>15343</v>
      </c>
      <c r="G41" s="51">
        <f>9638+15000</f>
        <v>24638</v>
      </c>
      <c r="H41" s="52">
        <f>9638+15000</f>
        <v>24638</v>
      </c>
      <c r="I41" s="52">
        <f>9638+15000</f>
        <v>24638</v>
      </c>
      <c r="J41" s="289" t="s">
        <v>118</v>
      </c>
      <c r="K41" s="53">
        <v>170000</v>
      </c>
      <c r="L41" s="53"/>
      <c r="M41" s="53"/>
      <c r="N41" s="53"/>
      <c r="O41" s="53"/>
      <c r="P41" s="53"/>
      <c r="Q41" s="131">
        <f t="shared" si="21"/>
        <v>194638</v>
      </c>
      <c r="R41" s="52"/>
      <c r="S41" s="52"/>
      <c r="T41" s="52"/>
      <c r="U41" s="52">
        <v>17724.16</v>
      </c>
      <c r="V41" s="52"/>
      <c r="W41" s="52"/>
      <c r="X41" s="52"/>
      <c r="Y41" s="52"/>
      <c r="Z41" s="52"/>
      <c r="AA41" s="52"/>
      <c r="AB41" s="52"/>
      <c r="AC41" s="52"/>
      <c r="AD41" s="34">
        <f>SUM(R41:AC41)</f>
        <v>17724.16</v>
      </c>
      <c r="AE41" s="52">
        <f>Q41-AD41</f>
        <v>176913.84</v>
      </c>
      <c r="AF41" s="132">
        <f t="shared" si="18"/>
        <v>9.106217696441599</v>
      </c>
      <c r="AG41" s="446" t="s">
        <v>78</v>
      </c>
    </row>
    <row r="42" spans="2:33" s="42" customFormat="1" ht="15" customHeight="1">
      <c r="B42" s="129"/>
      <c r="C42" s="43">
        <v>90095</v>
      </c>
      <c r="D42" s="43"/>
      <c r="E42" s="45" t="s">
        <v>317</v>
      </c>
      <c r="F42" s="48">
        <f>SUM(F43:F43)</f>
        <v>238300</v>
      </c>
      <c r="G42" s="46">
        <f>SUM(G43:G43)</f>
        <v>70000</v>
      </c>
      <c r="H42" s="48">
        <f>SUM(H43:H43)</f>
        <v>35000</v>
      </c>
      <c r="I42" s="48">
        <f>SUM(I43:I43)</f>
        <v>35000</v>
      </c>
      <c r="J42" s="289"/>
      <c r="K42" s="49">
        <f aca="true" t="shared" si="23" ref="K42:AE42">SUM(K43:K43)</f>
        <v>0</v>
      </c>
      <c r="L42" s="49">
        <f t="shared" si="23"/>
        <v>0</v>
      </c>
      <c r="M42" s="49">
        <f t="shared" si="23"/>
        <v>0</v>
      </c>
      <c r="N42" s="46">
        <f t="shared" si="23"/>
        <v>-30000</v>
      </c>
      <c r="O42" s="49">
        <f t="shared" si="23"/>
        <v>0</v>
      </c>
      <c r="P42" s="49">
        <f t="shared" si="23"/>
        <v>0</v>
      </c>
      <c r="Q42" s="40">
        <f t="shared" si="23"/>
        <v>5000</v>
      </c>
      <c r="R42" s="48">
        <f t="shared" si="23"/>
        <v>0</v>
      </c>
      <c r="S42" s="48">
        <f t="shared" si="23"/>
        <v>0</v>
      </c>
      <c r="T42" s="48">
        <f t="shared" si="23"/>
        <v>0</v>
      </c>
      <c r="U42" s="48">
        <f t="shared" si="23"/>
        <v>0</v>
      </c>
      <c r="V42" s="48">
        <f t="shared" si="23"/>
        <v>0</v>
      </c>
      <c r="W42" s="48">
        <f t="shared" si="23"/>
        <v>0</v>
      </c>
      <c r="X42" s="48">
        <f t="shared" si="23"/>
        <v>0</v>
      </c>
      <c r="Y42" s="48">
        <f t="shared" si="23"/>
        <v>0</v>
      </c>
      <c r="Z42" s="48">
        <f t="shared" si="23"/>
        <v>0</v>
      </c>
      <c r="AA42" s="48">
        <f t="shared" si="23"/>
        <v>0</v>
      </c>
      <c r="AB42" s="48">
        <f t="shared" si="23"/>
        <v>0</v>
      </c>
      <c r="AC42" s="48">
        <f t="shared" si="23"/>
        <v>0</v>
      </c>
      <c r="AD42" s="48">
        <f t="shared" si="23"/>
        <v>0</v>
      </c>
      <c r="AE42" s="48">
        <f t="shared" si="23"/>
        <v>5000</v>
      </c>
      <c r="AF42" s="130">
        <f t="shared" si="18"/>
        <v>0</v>
      </c>
      <c r="AG42" s="450"/>
    </row>
    <row r="43" spans="2:33" s="42" customFormat="1" ht="27.75" customHeight="1">
      <c r="B43" s="129"/>
      <c r="C43" s="30"/>
      <c r="D43" s="30">
        <v>6050</v>
      </c>
      <c r="E43" s="32" t="s">
        <v>472</v>
      </c>
      <c r="F43" s="52">
        <v>238300</v>
      </c>
      <c r="G43" s="51">
        <v>70000</v>
      </c>
      <c r="H43" s="52">
        <v>35000</v>
      </c>
      <c r="I43" s="52">
        <v>35000</v>
      </c>
      <c r="J43" s="289" t="s">
        <v>119</v>
      </c>
      <c r="K43" s="53"/>
      <c r="L43" s="53"/>
      <c r="M43" s="53"/>
      <c r="N43" s="51">
        <v>-30000</v>
      </c>
      <c r="O43" s="53"/>
      <c r="P43" s="53"/>
      <c r="Q43" s="131">
        <f t="shared" si="21"/>
        <v>5000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34">
        <f>SUM(R43:AC43)</f>
        <v>0</v>
      </c>
      <c r="AE43" s="52">
        <f>Q43-AD43</f>
        <v>5000</v>
      </c>
      <c r="AF43" s="132">
        <f>AD43*100/Q43</f>
        <v>0</v>
      </c>
      <c r="AG43" s="446" t="s">
        <v>72</v>
      </c>
    </row>
    <row r="44" spans="2:33" s="42" customFormat="1" ht="13.5" thickBot="1">
      <c r="B44" s="164"/>
      <c r="C44" s="165"/>
      <c r="D44" s="165"/>
      <c r="E44" s="166" t="s">
        <v>462</v>
      </c>
      <c r="F44" s="169" t="e">
        <f>F7+F10+F16+F21+#REF!+F24+#REF!+F28+#REF!+#REF!+F36+#REF!+#REF!+#REF!+#REF!+#REF!+#REF!</f>
        <v>#REF!</v>
      </c>
      <c r="G44" s="167" t="e">
        <f>G7+G10+G16+G21+#REF!+G24+#REF!+G28+#REF!+#REF!+G36+#REF!+#REF!+#REF!+#REF!+#REF!+#REF!</f>
        <v>#REF!</v>
      </c>
      <c r="H44" s="169" t="e">
        <f>H7+H10+H16+H21+#REF!+H24+#REF!+H28+#REF!+#REF!+H36+#REF!+#REF!+#REF!+#REF!+#REF!+#REF!+#REF!</f>
        <v>#REF!</v>
      </c>
      <c r="I44" s="169">
        <f>I7+I10+I16+I21+I24+I28+I36</f>
        <v>7093783</v>
      </c>
      <c r="J44" s="407"/>
      <c r="K44" s="168" t="e">
        <f>K7+K10+K16+K21+#REF!+K24+#REF!+K28+#REF!+#REF!+K36+#REF!+#REF!+#REF!+#REF!+#REF!+#REF!+#REF!</f>
        <v>#REF!</v>
      </c>
      <c r="L44" s="168" t="e">
        <f>L7+L10+L16+L21+#REF!+L24+#REF!+L28+#REF!+#REF!+L36+#REF!+#REF!+#REF!+#REF!+#REF!+#REF!+#REF!</f>
        <v>#REF!</v>
      </c>
      <c r="M44" s="168" t="e">
        <f>M7+M10+M16+M21+#REF!+M24+#REF!+M28+#REF!+#REF!+M36+#REF!+#REF!+#REF!+#REF!+#REF!+#REF!+#REF!</f>
        <v>#REF!</v>
      </c>
      <c r="N44" s="168" t="e">
        <f>N7+N10+N16+N21+#REF!+N24+#REF!+N28+#REF!+#REF!+N36+#REF!+#REF!+#REF!+#REF!+#REF!+#REF!+#REF!</f>
        <v>#REF!</v>
      </c>
      <c r="O44" s="168" t="e">
        <f>O7+O10+O16+O21+#REF!+O24+#REF!+O28+#REF!+#REF!+O36+#REF!+#REF!+#REF!+#REF!+#REF!+#REF!+#REF!</f>
        <v>#REF!</v>
      </c>
      <c r="P44" s="168" t="e">
        <f>P7+P10+P16+P21+#REF!+P24+#REF!+P28+#REF!+#REF!+P36+#REF!+#REF!+#REF!+#REF!+#REF!+#REF!+#REF!</f>
        <v>#REF!</v>
      </c>
      <c r="Q44" s="169">
        <f aca="true" t="shared" si="24" ref="Q44:AD44">Q7+Q10+Q16+Q21+Q24+Q28+Q36</f>
        <v>13760552</v>
      </c>
      <c r="R44" s="169">
        <f t="shared" si="24"/>
        <v>5533030.46</v>
      </c>
      <c r="S44" s="169">
        <f t="shared" si="24"/>
        <v>0</v>
      </c>
      <c r="T44" s="169">
        <f t="shared" si="24"/>
        <v>8098</v>
      </c>
      <c r="U44" s="169">
        <f t="shared" si="24"/>
        <v>205559.97</v>
      </c>
      <c r="V44" s="169">
        <f t="shared" si="24"/>
        <v>190072</v>
      </c>
      <c r="W44" s="169">
        <f t="shared" si="24"/>
        <v>2177342.42</v>
      </c>
      <c r="X44" s="169">
        <f t="shared" si="24"/>
        <v>0</v>
      </c>
      <c r="Y44" s="169">
        <f t="shared" si="24"/>
        <v>0</v>
      </c>
      <c r="Z44" s="169">
        <f t="shared" si="24"/>
        <v>0</v>
      </c>
      <c r="AA44" s="169">
        <f t="shared" si="24"/>
        <v>0</v>
      </c>
      <c r="AB44" s="169">
        <f t="shared" si="24"/>
        <v>0</v>
      </c>
      <c r="AC44" s="169">
        <f t="shared" si="24"/>
        <v>0</v>
      </c>
      <c r="AD44" s="169">
        <f t="shared" si="24"/>
        <v>8114102.85</v>
      </c>
      <c r="AE44" s="169" t="e">
        <f>AE7+AE10+AE16+AE21+#REF!+AE24+#REF!+AE28+#REF!+#REF!+AE36+#REF!+#REF!+#REF!+#REF!+#REF!+#REF!+#REF!</f>
        <v>#REF!</v>
      </c>
      <c r="AF44" s="170">
        <f>AD44*100/Q44</f>
        <v>58.96640519944258</v>
      </c>
      <c r="AG44" s="451"/>
    </row>
    <row r="45" spans="7:33" s="42" customFormat="1" ht="15">
      <c r="G45" s="301"/>
      <c r="H45" s="73"/>
      <c r="I45" s="73"/>
      <c r="J45" s="302"/>
      <c r="K45" s="171"/>
      <c r="L45" s="73"/>
      <c r="M45" s="73"/>
      <c r="N45" s="73"/>
      <c r="O45" s="73"/>
      <c r="P45" s="73"/>
      <c r="Q45" s="104"/>
      <c r="R45" s="73">
        <v>-5927239.49</v>
      </c>
      <c r="S45" s="73">
        <f>-'[1]Dochody zał.Nr 1'!R127</f>
        <v>0</v>
      </c>
      <c r="T45" s="73"/>
      <c r="U45" s="73"/>
      <c r="V45" s="73"/>
      <c r="W45" s="73"/>
      <c r="X45" s="73">
        <f>-'[1]Dochody zał.Nr 1'!V127</f>
        <v>0</v>
      </c>
      <c r="Y45" s="73">
        <f>-'[1]Dochody zał.Nr 1'!W127</f>
        <v>0</v>
      </c>
      <c r="Z45" s="73">
        <f>-'[1]Dochody zał.Nr 1'!X127</f>
        <v>0</v>
      </c>
      <c r="AA45" s="73">
        <f>-'[1]Dochody zał.Nr 1'!Y127</f>
        <v>0</v>
      </c>
      <c r="AB45" s="73">
        <f>-'[1]Dochody zał.Nr 1'!Z127</f>
        <v>0</v>
      </c>
      <c r="AC45" s="73">
        <f>-'[1]Dochody zał.Nr 1'!AA127</f>
        <v>0</v>
      </c>
      <c r="AD45" s="172"/>
      <c r="AE45" s="173"/>
      <c r="AF45" s="174"/>
      <c r="AG45" s="452"/>
    </row>
    <row r="46" spans="5:33" s="42" customFormat="1" ht="15.75">
      <c r="E46" s="14"/>
      <c r="F46" s="14"/>
      <c r="G46" s="303"/>
      <c r="H46" s="176"/>
      <c r="I46" s="176"/>
      <c r="J46" s="302"/>
      <c r="K46" s="175"/>
      <c r="L46" s="176"/>
      <c r="M46" s="176"/>
      <c r="N46" s="176"/>
      <c r="O46" s="176"/>
      <c r="P46" s="176"/>
      <c r="Q46" s="41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415"/>
      <c r="AE46" s="173"/>
      <c r="AF46" s="174"/>
      <c r="AG46" s="452"/>
    </row>
    <row r="47" spans="4:33" s="42" customFormat="1" ht="15">
      <c r="D47" s="104"/>
      <c r="E47" s="73"/>
      <c r="F47" s="73"/>
      <c r="G47" s="149"/>
      <c r="J47" s="6"/>
      <c r="K47" s="177"/>
      <c r="M47" s="73"/>
      <c r="Q47" s="104"/>
      <c r="AD47" s="104"/>
      <c r="AE47" s="173"/>
      <c r="AF47" s="132"/>
      <c r="AG47" s="446"/>
    </row>
    <row r="48" spans="7:33" s="42" customFormat="1" ht="15">
      <c r="G48" s="149"/>
      <c r="J48" s="6"/>
      <c r="K48" s="177"/>
      <c r="M48" s="73"/>
      <c r="Q48" s="104"/>
      <c r="AD48" s="178"/>
      <c r="AE48" s="173"/>
      <c r="AF48" s="174"/>
      <c r="AG48" s="452"/>
    </row>
    <row r="49" spans="5:33" s="42" customFormat="1" ht="15">
      <c r="E49" s="73"/>
      <c r="F49" s="73"/>
      <c r="G49" s="301"/>
      <c r="H49" s="73"/>
      <c r="I49" s="73"/>
      <c r="J49" s="6"/>
      <c r="K49" s="171"/>
      <c r="L49" s="73"/>
      <c r="M49" s="73"/>
      <c r="N49" s="73"/>
      <c r="O49" s="73"/>
      <c r="P49" s="73"/>
      <c r="Q49" s="104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172"/>
      <c r="AE49" s="173"/>
      <c r="AF49" s="174"/>
      <c r="AG49" s="452"/>
    </row>
    <row r="50" spans="7:33" s="42" customFormat="1" ht="12.75">
      <c r="G50" s="301"/>
      <c r="H50" s="73"/>
      <c r="I50" s="73"/>
      <c r="J50" s="6"/>
      <c r="K50" s="171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G50" s="453"/>
    </row>
    <row r="51" spans="7:33" s="42" customFormat="1" ht="12.75">
      <c r="G51" s="301"/>
      <c r="H51" s="73"/>
      <c r="I51" s="73"/>
      <c r="J51" s="6"/>
      <c r="K51" s="171"/>
      <c r="L51" s="73"/>
      <c r="M51" s="73"/>
      <c r="N51" s="73"/>
      <c r="O51" s="73"/>
      <c r="P51" s="73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G51" s="453"/>
    </row>
    <row r="52" spans="7:33" s="42" customFormat="1" ht="12.75">
      <c r="G52" s="301"/>
      <c r="H52" s="73"/>
      <c r="I52" s="73"/>
      <c r="J52" s="6"/>
      <c r="K52" s="171"/>
      <c r="L52" s="73"/>
      <c r="M52" s="73"/>
      <c r="N52" s="73"/>
      <c r="O52" s="73"/>
      <c r="P52" s="73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G52" s="453"/>
    </row>
    <row r="53" spans="7:33" s="42" customFormat="1" ht="12.75">
      <c r="G53" s="301"/>
      <c r="H53" s="73"/>
      <c r="I53" s="73"/>
      <c r="J53" s="6"/>
      <c r="K53" s="171"/>
      <c r="L53" s="73"/>
      <c r="M53" s="73"/>
      <c r="N53" s="73"/>
      <c r="O53" s="73"/>
      <c r="P53" s="73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G53" s="453"/>
    </row>
    <row r="54" spans="7:33" s="42" customFormat="1" ht="12.75">
      <c r="G54" s="301"/>
      <c r="H54" s="73"/>
      <c r="I54" s="73"/>
      <c r="J54" s="6"/>
      <c r="K54" s="171"/>
      <c r="L54" s="73"/>
      <c r="M54" s="73"/>
      <c r="N54" s="73"/>
      <c r="O54" s="73"/>
      <c r="P54" s="73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G54" s="453"/>
    </row>
    <row r="55" spans="7:33" s="42" customFormat="1" ht="12.75">
      <c r="G55" s="301"/>
      <c r="H55" s="73"/>
      <c r="I55" s="73"/>
      <c r="J55" s="6"/>
      <c r="K55" s="171"/>
      <c r="L55" s="73"/>
      <c r="M55" s="73"/>
      <c r="N55" s="73"/>
      <c r="O55" s="73"/>
      <c r="P55" s="73"/>
      <c r="Q55" s="66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G55" s="453"/>
    </row>
    <row r="56" spans="7:33" s="42" customFormat="1" ht="12.75">
      <c r="G56" s="301"/>
      <c r="H56" s="73"/>
      <c r="I56" s="73"/>
      <c r="J56" s="6"/>
      <c r="K56" s="171"/>
      <c r="L56" s="73"/>
      <c r="M56" s="73"/>
      <c r="N56" s="73"/>
      <c r="O56" s="73"/>
      <c r="P56" s="73"/>
      <c r="Q56" s="66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G56" s="453"/>
    </row>
    <row r="57" spans="7:33" s="42" customFormat="1" ht="12.75">
      <c r="G57" s="149"/>
      <c r="J57" s="6"/>
      <c r="K57" s="177"/>
      <c r="Q57" s="66"/>
      <c r="AG57" s="453"/>
    </row>
    <row r="58" spans="7:33" s="42" customFormat="1" ht="12.75">
      <c r="G58" s="149"/>
      <c r="J58" s="6"/>
      <c r="K58" s="177"/>
      <c r="Q58" s="66"/>
      <c r="AG58" s="453"/>
    </row>
    <row r="59" ht="12.75">
      <c r="Q59" s="8"/>
    </row>
    <row r="60" ht="12.75">
      <c r="Q60" s="8"/>
    </row>
    <row r="61" ht="12.75">
      <c r="Q61" s="8"/>
    </row>
    <row r="62" ht="12.75">
      <c r="Q62" s="8"/>
    </row>
    <row r="63" ht="12.75">
      <c r="Q63" s="8"/>
    </row>
    <row r="64" ht="12.75">
      <c r="Q64" s="8"/>
    </row>
    <row r="65" ht="12.75">
      <c r="Q65" s="8"/>
    </row>
    <row r="66" ht="12.75">
      <c r="Q66" s="8"/>
    </row>
    <row r="67" ht="12.75">
      <c r="Q67" s="8"/>
    </row>
    <row r="68" ht="12.75">
      <c r="Q68" s="8"/>
    </row>
    <row r="69" ht="12.75">
      <c r="Q69" s="8"/>
    </row>
    <row r="70" ht="12.75">
      <c r="Q70" s="8"/>
    </row>
    <row r="71" ht="12.75">
      <c r="Q71" s="8"/>
    </row>
    <row r="72" ht="12.75">
      <c r="Q72" s="8"/>
    </row>
    <row r="73" ht="12.75">
      <c r="Q73" s="8"/>
    </row>
    <row r="74" ht="12.75">
      <c r="Q74" s="8"/>
    </row>
    <row r="75" ht="12.75">
      <c r="Q75" s="8"/>
    </row>
    <row r="76" ht="12.75">
      <c r="Q76" s="8"/>
    </row>
    <row r="77" ht="12.75">
      <c r="Q77" s="8"/>
    </row>
    <row r="78" ht="12.75">
      <c r="Q78" s="8"/>
    </row>
    <row r="79" ht="12.75">
      <c r="Q79" s="8"/>
    </row>
    <row r="80" ht="12.75">
      <c r="Q80" s="8"/>
    </row>
    <row r="81" ht="12.75">
      <c r="Q81" s="8"/>
    </row>
    <row r="82" ht="12.75">
      <c r="Q82" s="8"/>
    </row>
    <row r="83" ht="12.75">
      <c r="Q83" s="8"/>
    </row>
    <row r="84" ht="12.75">
      <c r="Q84" s="8"/>
    </row>
    <row r="85" ht="12.75">
      <c r="Q85" s="8"/>
    </row>
    <row r="86" ht="12.75">
      <c r="Q86" s="8"/>
    </row>
    <row r="87" ht="12.75">
      <c r="Q87" s="8"/>
    </row>
    <row r="88" ht="12.75">
      <c r="Q88" s="8"/>
    </row>
    <row r="89" ht="12.75">
      <c r="Q89" s="8"/>
    </row>
    <row r="90" ht="12.75">
      <c r="Q90" s="8"/>
    </row>
    <row r="91" ht="12.75">
      <c r="Q91" s="8"/>
    </row>
    <row r="92" ht="12.75">
      <c r="Q92" s="8"/>
    </row>
    <row r="93" ht="12.75">
      <c r="Q93" s="8"/>
    </row>
    <row r="94" ht="12.75">
      <c r="Q94" s="8"/>
    </row>
    <row r="95" ht="12.75">
      <c r="Q95" s="8"/>
    </row>
    <row r="96" ht="12.75">
      <c r="Q96" s="8"/>
    </row>
    <row r="97" ht="12.75">
      <c r="Q97" s="8"/>
    </row>
    <row r="98" ht="12.75">
      <c r="Q98" s="8"/>
    </row>
    <row r="99" ht="12.75">
      <c r="Q99" s="8"/>
    </row>
    <row r="100" ht="12.75">
      <c r="Q100" s="8"/>
    </row>
    <row r="101" ht="12.75">
      <c r="Q101" s="8"/>
    </row>
    <row r="102" ht="12.75">
      <c r="Q102" s="8"/>
    </row>
    <row r="103" ht="12.75">
      <c r="Q103" s="8"/>
    </row>
    <row r="104" ht="12.75">
      <c r="Q104" s="8"/>
    </row>
    <row r="105" ht="12.75">
      <c r="Q105" s="8"/>
    </row>
    <row r="106" ht="12.75">
      <c r="Q106" s="8"/>
    </row>
    <row r="107" ht="12.75">
      <c r="Q107" s="8"/>
    </row>
    <row r="108" ht="12.75">
      <c r="Q108" s="8"/>
    </row>
    <row r="109" ht="12.75">
      <c r="Q109" s="8"/>
    </row>
    <row r="110" ht="12.75">
      <c r="Q110" s="8"/>
    </row>
    <row r="111" ht="12.75">
      <c r="Q111" s="8"/>
    </row>
    <row r="112" ht="12.75">
      <c r="Q112" s="8"/>
    </row>
    <row r="113" ht="12.75">
      <c r="Q113" s="8"/>
    </row>
    <row r="114" ht="12.75">
      <c r="Q114" s="8"/>
    </row>
    <row r="115" ht="12.75">
      <c r="Q115" s="8"/>
    </row>
    <row r="116" ht="12.75">
      <c r="Q116" s="8"/>
    </row>
    <row r="117" ht="12.75">
      <c r="Q117" s="8"/>
    </row>
    <row r="118" ht="12.75">
      <c r="Q118" s="8"/>
    </row>
  </sheetData>
  <mergeCells count="28">
    <mergeCell ref="AB3:AB4"/>
    <mergeCell ref="X3:X4"/>
    <mergeCell ref="AG3:AG4"/>
    <mergeCell ref="J14:J15"/>
    <mergeCell ref="AC3:AC4"/>
    <mergeCell ref="AD3:AD4"/>
    <mergeCell ref="AE3:AE4"/>
    <mergeCell ref="AF3:AF4"/>
    <mergeCell ref="Y3:Y4"/>
    <mergeCell ref="Z3:Z4"/>
    <mergeCell ref="Q3:Q4"/>
    <mergeCell ref="R3:R4"/>
    <mergeCell ref="S3:S4"/>
    <mergeCell ref="AA3:AA4"/>
    <mergeCell ref="T3:T4"/>
    <mergeCell ref="U3:U4"/>
    <mergeCell ref="V3:V4"/>
    <mergeCell ref="W3:W4"/>
    <mergeCell ref="AG30:AG3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11811023622047245" right="0.11811023622047245" top="0.31496062992125984" bottom="0.4724409448818898" header="0.31496062992125984" footer="0.4724409448818898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5:K23"/>
  <sheetViews>
    <sheetView zoomScale="150" zoomScaleNormal="150" workbookViewId="0" topLeftCell="A11">
      <selection activeCell="B5" sqref="B5:K22"/>
    </sheetView>
  </sheetViews>
  <sheetFormatPr defaultColWidth="9.140625" defaultRowHeight="12.75"/>
  <cols>
    <col min="1" max="16384" width="9.140625" style="320" customWidth="1"/>
  </cols>
  <sheetData>
    <row r="5" spans="2:11" ht="20.25">
      <c r="B5" s="594" t="s">
        <v>709</v>
      </c>
      <c r="C5" s="594"/>
      <c r="D5" s="594"/>
      <c r="E5" s="594"/>
      <c r="F5" s="594"/>
      <c r="G5" s="594"/>
      <c r="H5" s="594"/>
      <c r="I5" s="594"/>
      <c r="J5" s="594"/>
      <c r="K5" s="594"/>
    </row>
    <row r="6" spans="2:11" ht="20.25">
      <c r="B6" s="594" t="s">
        <v>65</v>
      </c>
      <c r="C6" s="594"/>
      <c r="D6" s="594"/>
      <c r="E6" s="594"/>
      <c r="F6" s="594"/>
      <c r="G6" s="594"/>
      <c r="H6" s="594"/>
      <c r="I6" s="594"/>
      <c r="J6" s="594"/>
      <c r="K6" s="594"/>
    </row>
    <row r="7" ht="16.5">
      <c r="B7" s="318"/>
    </row>
    <row r="8" spans="2:11" ht="144" customHeight="1">
      <c r="B8" s="635" t="s">
        <v>63</v>
      </c>
      <c r="C8" s="635"/>
      <c r="D8" s="635"/>
      <c r="E8" s="635"/>
      <c r="F8" s="635"/>
      <c r="G8" s="635"/>
      <c r="H8" s="635"/>
      <c r="I8" s="635"/>
      <c r="J8" s="635"/>
      <c r="K8" s="635"/>
    </row>
    <row r="9" spans="2:11" ht="16.5">
      <c r="B9" s="635"/>
      <c r="C9" s="635"/>
      <c r="D9" s="635"/>
      <c r="E9" s="635"/>
      <c r="F9" s="635"/>
      <c r="G9" s="635"/>
      <c r="H9" s="635"/>
      <c r="I9" s="635"/>
      <c r="J9" s="635"/>
      <c r="K9" s="635"/>
    </row>
    <row r="10" spans="2:11" ht="36" customHeight="1">
      <c r="B10" s="635" t="s">
        <v>64</v>
      </c>
      <c r="C10" s="635"/>
      <c r="D10" s="635"/>
      <c r="E10" s="635"/>
      <c r="F10" s="635"/>
      <c r="G10" s="635"/>
      <c r="H10" s="635"/>
      <c r="I10" s="635"/>
      <c r="J10" s="635"/>
      <c r="K10" s="635"/>
    </row>
    <row r="11" ht="16.5">
      <c r="B11" s="318"/>
    </row>
    <row r="12" spans="2:11" ht="42.75" customHeight="1">
      <c r="B12" s="636" t="s">
        <v>66</v>
      </c>
      <c r="C12" s="636"/>
      <c r="D12" s="636"/>
      <c r="E12" s="636"/>
      <c r="F12" s="636"/>
      <c r="G12" s="636"/>
      <c r="H12" s="636"/>
      <c r="I12" s="636"/>
      <c r="J12" s="636"/>
      <c r="K12" s="636"/>
    </row>
    <row r="13" ht="16.5">
      <c r="B13" s="319"/>
    </row>
    <row r="14" spans="2:11" ht="66" customHeight="1">
      <c r="B14" s="636" t="s">
        <v>444</v>
      </c>
      <c r="C14" s="636"/>
      <c r="D14" s="636"/>
      <c r="E14" s="636"/>
      <c r="F14" s="636"/>
      <c r="G14" s="636"/>
      <c r="H14" s="636"/>
      <c r="I14" s="636"/>
      <c r="J14" s="636"/>
      <c r="K14" s="636"/>
    </row>
    <row r="15" ht="16.5">
      <c r="B15" s="318"/>
    </row>
    <row r="16" spans="2:11" ht="69" customHeight="1">
      <c r="B16" s="636" t="s">
        <v>67</v>
      </c>
      <c r="C16" s="636"/>
      <c r="D16" s="636"/>
      <c r="E16" s="636"/>
      <c r="F16" s="636"/>
      <c r="G16" s="636"/>
      <c r="H16" s="636"/>
      <c r="I16" s="636"/>
      <c r="J16" s="636"/>
      <c r="K16" s="636"/>
    </row>
    <row r="17" ht="16.5">
      <c r="B17" s="319"/>
    </row>
    <row r="18" spans="2:11" ht="41.25" customHeight="1">
      <c r="B18" s="636" t="s">
        <v>68</v>
      </c>
      <c r="C18" s="636"/>
      <c r="D18" s="636"/>
      <c r="E18" s="636"/>
      <c r="F18" s="636"/>
      <c r="G18" s="636"/>
      <c r="H18" s="636"/>
      <c r="I18" s="636"/>
      <c r="J18" s="636"/>
      <c r="K18" s="636"/>
    </row>
    <row r="19" spans="2:11" ht="16.5"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2:11" ht="141" customHeight="1">
      <c r="B20" s="636" t="s">
        <v>69</v>
      </c>
      <c r="C20" s="636"/>
      <c r="D20" s="636"/>
      <c r="E20" s="636"/>
      <c r="F20" s="636"/>
      <c r="G20" s="636"/>
      <c r="H20" s="636"/>
      <c r="I20" s="636"/>
      <c r="J20" s="636"/>
      <c r="K20" s="636"/>
    </row>
    <row r="21" ht="16.5">
      <c r="B21" s="319"/>
    </row>
    <row r="22" spans="2:11" ht="87" customHeight="1">
      <c r="B22" s="636" t="s">
        <v>70</v>
      </c>
      <c r="C22" s="636"/>
      <c r="D22" s="636"/>
      <c r="E22" s="636"/>
      <c r="F22" s="636"/>
      <c r="G22" s="636"/>
      <c r="H22" s="636"/>
      <c r="I22" s="636"/>
      <c r="J22" s="636"/>
      <c r="K22" s="636"/>
    </row>
    <row r="23" ht="16.5">
      <c r="B23" s="319"/>
    </row>
  </sheetData>
  <mergeCells count="11">
    <mergeCell ref="B18:K18"/>
    <mergeCell ref="B20:K20"/>
    <mergeCell ref="B22:K22"/>
    <mergeCell ref="B10:K10"/>
    <mergeCell ref="B12:K12"/>
    <mergeCell ref="B14:K14"/>
    <mergeCell ref="B16:K16"/>
    <mergeCell ref="B5:K5"/>
    <mergeCell ref="B6:K6"/>
    <mergeCell ref="B8:K8"/>
    <mergeCell ref="B9:K9"/>
  </mergeCells>
  <printOptions horizontalCentered="1"/>
  <pageMargins left="0.11811023622047245" right="0.11811023622047245" top="0.27" bottom="0.47" header="0.25" footer="0.472440944881889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="150" zoomScaleNormal="150" workbookViewId="0" topLeftCell="A1">
      <selection activeCell="A1" sqref="A1:F35"/>
    </sheetView>
  </sheetViews>
  <sheetFormatPr defaultColWidth="9.140625" defaultRowHeight="12.75"/>
  <cols>
    <col min="2" max="2" width="23.7109375" style="0" customWidth="1"/>
    <col min="3" max="3" width="17.140625" style="0" customWidth="1"/>
    <col min="4" max="4" width="19.28125" style="0" customWidth="1"/>
    <col min="5" max="5" width="6.421875" style="0" bestFit="1" customWidth="1"/>
    <col min="6" max="6" width="27.7109375" style="270" customWidth="1"/>
  </cols>
  <sheetData>
    <row r="1" spans="1:6" ht="12.75">
      <c r="A1" s="184"/>
      <c r="B1" s="184"/>
      <c r="C1" s="42"/>
      <c r="D1" s="184"/>
      <c r="E1" s="75"/>
      <c r="F1" s="180" t="s">
        <v>595</v>
      </c>
    </row>
    <row r="2" spans="1:6" ht="12.75">
      <c r="A2" s="184"/>
      <c r="B2" s="184"/>
      <c r="C2" s="184"/>
      <c r="D2" s="184"/>
      <c r="E2" s="184"/>
      <c r="F2" s="327"/>
    </row>
    <row r="3" spans="1:6" ht="15.75">
      <c r="A3" s="644" t="s">
        <v>1028</v>
      </c>
      <c r="B3" s="644"/>
      <c r="C3" s="644"/>
      <c r="D3" s="644"/>
      <c r="E3" s="644"/>
      <c r="F3" s="644"/>
    </row>
    <row r="4" spans="1:6" ht="13.5" thickBot="1">
      <c r="A4" s="183"/>
      <c r="B4" s="184"/>
      <c r="C4" s="184"/>
      <c r="D4" s="184"/>
      <c r="E4" s="184"/>
      <c r="F4" s="327"/>
    </row>
    <row r="5" spans="1:6" ht="34.5" customHeight="1">
      <c r="A5" s="588" t="s">
        <v>1063</v>
      </c>
      <c r="B5" s="588" t="s">
        <v>1064</v>
      </c>
      <c r="C5" s="588" t="s">
        <v>79</v>
      </c>
      <c r="D5" s="588" t="s">
        <v>80</v>
      </c>
      <c r="E5" s="588" t="s">
        <v>308</v>
      </c>
      <c r="F5" s="588" t="s">
        <v>1126</v>
      </c>
    </row>
    <row r="6" spans="1:6" ht="35.25" customHeight="1" thickBot="1">
      <c r="A6" s="570"/>
      <c r="B6" s="570"/>
      <c r="C6" s="570"/>
      <c r="D6" s="570"/>
      <c r="E6" s="570"/>
      <c r="F6" s="570"/>
    </row>
    <row r="7" spans="1:6" ht="12.75">
      <c r="A7" s="220"/>
      <c r="B7" s="220"/>
      <c r="C7" s="220"/>
      <c r="D7" s="220"/>
      <c r="E7" s="220"/>
      <c r="F7" s="328"/>
    </row>
    <row r="8" spans="1:6" ht="12.75">
      <c r="A8" s="223">
        <v>80101</v>
      </c>
      <c r="B8" s="224" t="s">
        <v>1</v>
      </c>
      <c r="C8" s="225">
        <f>SUM(C9:C13)</f>
        <v>165200</v>
      </c>
      <c r="D8" s="225">
        <f>SUM(D9:D13)</f>
        <v>74427.91</v>
      </c>
      <c r="E8" s="156">
        <f aca="true" t="shared" si="0" ref="E8:E13">D8*100/C8</f>
        <v>45.05321428571428</v>
      </c>
      <c r="F8" s="329"/>
    </row>
    <row r="9" spans="1:6" ht="12.75">
      <c r="A9" s="237" t="s">
        <v>367</v>
      </c>
      <c r="B9" s="238" t="s">
        <v>368</v>
      </c>
      <c r="C9" s="229">
        <v>10000</v>
      </c>
      <c r="D9" s="229">
        <v>0</v>
      </c>
      <c r="E9" s="34">
        <f t="shared" si="0"/>
        <v>0</v>
      </c>
      <c r="F9" s="580" t="s">
        <v>1030</v>
      </c>
    </row>
    <row r="10" spans="1:6" ht="12.75">
      <c r="A10" s="237" t="s">
        <v>669</v>
      </c>
      <c r="B10" s="238" t="s">
        <v>670</v>
      </c>
      <c r="C10" s="229">
        <v>128000</v>
      </c>
      <c r="D10" s="229">
        <v>61672.32</v>
      </c>
      <c r="E10" s="34">
        <f t="shared" si="0"/>
        <v>48.1815</v>
      </c>
      <c r="F10" s="637"/>
    </row>
    <row r="11" spans="1:6" ht="12.75" customHeight="1">
      <c r="A11" s="237" t="s">
        <v>359</v>
      </c>
      <c r="B11" s="238" t="s">
        <v>360</v>
      </c>
      <c r="C11" s="69">
        <v>700</v>
      </c>
      <c r="D11" s="69">
        <v>28.89</v>
      </c>
      <c r="E11" s="34">
        <f t="shared" si="0"/>
        <v>4.127142857142857</v>
      </c>
      <c r="F11" s="637"/>
    </row>
    <row r="12" spans="1:6" s="272" customFormat="1" ht="38.25">
      <c r="A12" s="31" t="s">
        <v>212</v>
      </c>
      <c r="B12" s="32" t="s">
        <v>1107</v>
      </c>
      <c r="C12" s="69">
        <v>21500</v>
      </c>
      <c r="D12" s="69">
        <v>12726.7</v>
      </c>
      <c r="E12" s="34">
        <f t="shared" si="0"/>
        <v>59.193953488372095</v>
      </c>
      <c r="F12" s="637"/>
    </row>
    <row r="13" spans="1:6" ht="13.5" thickBot="1">
      <c r="A13" s="31" t="s">
        <v>671</v>
      </c>
      <c r="B13" s="32" t="s">
        <v>368</v>
      </c>
      <c r="C13" s="52">
        <v>5000</v>
      </c>
      <c r="D13" s="34">
        <v>0</v>
      </c>
      <c r="E13" s="34">
        <f t="shared" si="0"/>
        <v>0</v>
      </c>
      <c r="F13" s="638"/>
    </row>
    <row r="14" spans="1:6" ht="12.75">
      <c r="A14" s="220"/>
      <c r="B14" s="220"/>
      <c r="C14" s="220"/>
      <c r="D14" s="220"/>
      <c r="E14" s="220"/>
      <c r="F14" s="328"/>
    </row>
    <row r="15" spans="1:6" ht="12.75">
      <c r="A15" s="223">
        <v>80101</v>
      </c>
      <c r="B15" s="224" t="s">
        <v>1095</v>
      </c>
      <c r="C15" s="225">
        <f>SUM(C16:C20)</f>
        <v>165200</v>
      </c>
      <c r="D15" s="225">
        <f>SUM(D16:D20)</f>
        <v>64431.420000000006</v>
      </c>
      <c r="E15" s="156">
        <f aca="true" t="shared" si="1" ref="E15:E20">D15*100/C15</f>
        <v>39.002070217917684</v>
      </c>
      <c r="F15" s="329"/>
    </row>
    <row r="16" spans="1:6" ht="25.5" customHeight="1">
      <c r="A16" s="31">
        <v>4210</v>
      </c>
      <c r="B16" s="32" t="s">
        <v>469</v>
      </c>
      <c r="C16" s="69">
        <v>12300</v>
      </c>
      <c r="D16" s="69">
        <v>3594.3</v>
      </c>
      <c r="E16" s="34">
        <f t="shared" si="1"/>
        <v>29.221951219512196</v>
      </c>
      <c r="F16" s="643" t="s">
        <v>83</v>
      </c>
    </row>
    <row r="17" spans="1:6" ht="12.75">
      <c r="A17" s="31">
        <v>4220</v>
      </c>
      <c r="B17" s="32" t="s">
        <v>1108</v>
      </c>
      <c r="C17" s="69">
        <v>128000</v>
      </c>
      <c r="D17" s="69">
        <v>59251.71</v>
      </c>
      <c r="E17" s="34">
        <f t="shared" si="1"/>
        <v>46.2903984375</v>
      </c>
      <c r="F17" s="643"/>
    </row>
    <row r="18" spans="1:6" ht="25.5">
      <c r="A18" s="31">
        <v>4240</v>
      </c>
      <c r="B18" s="32" t="s">
        <v>536</v>
      </c>
      <c r="C18" s="69">
        <v>450</v>
      </c>
      <c r="D18" s="69">
        <v>180</v>
      </c>
      <c r="E18" s="34">
        <f t="shared" si="1"/>
        <v>40</v>
      </c>
      <c r="F18" s="643"/>
    </row>
    <row r="19" spans="1:6" ht="12.75">
      <c r="A19" s="30">
        <v>4270</v>
      </c>
      <c r="B19" s="32" t="s">
        <v>470</v>
      </c>
      <c r="C19" s="69">
        <v>15000</v>
      </c>
      <c r="D19" s="69">
        <v>0</v>
      </c>
      <c r="E19" s="34">
        <f t="shared" si="1"/>
        <v>0</v>
      </c>
      <c r="F19" s="643"/>
    </row>
    <row r="20" spans="1:6" ht="13.5" thickBot="1">
      <c r="A20" s="31">
        <v>4300</v>
      </c>
      <c r="B20" s="32" t="s">
        <v>471</v>
      </c>
      <c r="C20" s="69">
        <v>9450</v>
      </c>
      <c r="D20" s="69">
        <v>1405.41</v>
      </c>
      <c r="E20" s="34">
        <f t="shared" si="1"/>
        <v>14.872063492063493</v>
      </c>
      <c r="F20" s="330"/>
    </row>
    <row r="21" spans="1:6" ht="12.75">
      <c r="A21" s="220"/>
      <c r="B21" s="220"/>
      <c r="C21" s="220"/>
      <c r="D21" s="220"/>
      <c r="E21" s="220"/>
      <c r="F21" s="328"/>
    </row>
    <row r="22" spans="1:6" ht="12.75" customHeight="1">
      <c r="A22" s="223">
        <v>80104</v>
      </c>
      <c r="B22" s="224" t="s">
        <v>1</v>
      </c>
      <c r="C22" s="225">
        <f>SUM(C23:C25)</f>
        <v>81850</v>
      </c>
      <c r="D22" s="225">
        <f>SUM(D23:D25)</f>
        <v>33119.42</v>
      </c>
      <c r="E22" s="156">
        <f>D22*100/C22</f>
        <v>40.4635552840562</v>
      </c>
      <c r="F22" s="329"/>
    </row>
    <row r="23" spans="1:6" ht="12.75">
      <c r="A23" s="237" t="s">
        <v>669</v>
      </c>
      <c r="B23" s="238" t="s">
        <v>670</v>
      </c>
      <c r="C23" s="229">
        <v>78000</v>
      </c>
      <c r="D23" s="229">
        <v>31398.69</v>
      </c>
      <c r="E23" s="243">
        <f>D23*100/C23</f>
        <v>40.25473076923077</v>
      </c>
      <c r="F23" s="637"/>
    </row>
    <row r="24" spans="1:6" ht="12.75">
      <c r="A24" s="237" t="s">
        <v>359</v>
      </c>
      <c r="B24" s="238" t="s">
        <v>360</v>
      </c>
      <c r="C24" s="229">
        <v>300</v>
      </c>
      <c r="D24" s="229">
        <v>10.73</v>
      </c>
      <c r="E24" s="243">
        <f>D24*100/C24</f>
        <v>3.5766666666666667</v>
      </c>
      <c r="F24" s="637"/>
    </row>
    <row r="25" spans="1:6" ht="38.25">
      <c r="A25" s="31" t="s">
        <v>212</v>
      </c>
      <c r="B25" s="32" t="s">
        <v>1107</v>
      </c>
      <c r="C25" s="52">
        <v>3550</v>
      </c>
      <c r="D25" s="34">
        <v>1710</v>
      </c>
      <c r="E25" s="243">
        <f>D25*100/C25</f>
        <v>48.16901408450704</v>
      </c>
      <c r="F25" s="581"/>
    </row>
    <row r="26" spans="1:6" ht="12.75">
      <c r="A26" s="244"/>
      <c r="B26" s="244"/>
      <c r="C26" s="244"/>
      <c r="D26" s="244"/>
      <c r="E26" s="244"/>
      <c r="F26" s="331"/>
    </row>
    <row r="27" spans="1:6" ht="12.75" customHeight="1">
      <c r="A27" s="223">
        <v>80104</v>
      </c>
      <c r="B27" s="224" t="s">
        <v>1095</v>
      </c>
      <c r="C27" s="225">
        <f>SUM(C28:C31)</f>
        <v>81850</v>
      </c>
      <c r="D27" s="225">
        <f>SUM(D28:D31)</f>
        <v>31901.72</v>
      </c>
      <c r="E27" s="156">
        <f>D27*100/C27</f>
        <v>38.97583384239462</v>
      </c>
      <c r="F27" s="329"/>
    </row>
    <row r="28" spans="1:6" ht="25.5" customHeight="1">
      <c r="A28" s="31">
        <v>4210</v>
      </c>
      <c r="B28" s="32" t="s">
        <v>469</v>
      </c>
      <c r="C28" s="69">
        <v>2550</v>
      </c>
      <c r="D28" s="69">
        <v>370</v>
      </c>
      <c r="E28" s="34">
        <f>D28*100/C28</f>
        <v>14.509803921568627</v>
      </c>
      <c r="F28" s="643" t="s">
        <v>84</v>
      </c>
    </row>
    <row r="29" spans="1:6" ht="12.75">
      <c r="A29" s="31">
        <v>4220</v>
      </c>
      <c r="B29" s="32" t="s">
        <v>1108</v>
      </c>
      <c r="C29" s="69">
        <v>78000</v>
      </c>
      <c r="D29" s="69">
        <v>30400.32</v>
      </c>
      <c r="E29" s="34">
        <f>D29*100/C29</f>
        <v>38.97476923076923</v>
      </c>
      <c r="F29" s="643"/>
    </row>
    <row r="30" spans="1:6" ht="25.5">
      <c r="A30" s="31">
        <v>4240</v>
      </c>
      <c r="B30" s="32" t="s">
        <v>536</v>
      </c>
      <c r="C30" s="69">
        <v>700</v>
      </c>
      <c r="D30" s="69">
        <v>700</v>
      </c>
      <c r="E30" s="34">
        <f>D30*100/C30</f>
        <v>100</v>
      </c>
      <c r="F30" s="643"/>
    </row>
    <row r="31" spans="1:6" ht="12.75" customHeight="1" thickBot="1">
      <c r="A31" s="31">
        <v>4300</v>
      </c>
      <c r="B31" s="32" t="s">
        <v>471</v>
      </c>
      <c r="C31" s="69">
        <v>600</v>
      </c>
      <c r="D31" s="69">
        <v>431.4</v>
      </c>
      <c r="E31" s="34">
        <f>D31*100/C31</f>
        <v>71.9</v>
      </c>
      <c r="F31" s="330"/>
    </row>
    <row r="32" spans="1:6" ht="12.75" customHeight="1">
      <c r="A32" s="220"/>
      <c r="B32" s="220"/>
      <c r="C32" s="220"/>
      <c r="D32" s="220"/>
      <c r="E32" s="220"/>
      <c r="F32" s="332"/>
    </row>
    <row r="33" spans="1:6" ht="12.75" customHeight="1">
      <c r="A33" s="639" t="s">
        <v>1029</v>
      </c>
      <c r="B33" s="640"/>
      <c r="C33" s="19">
        <f>38000+15000</f>
        <v>53000</v>
      </c>
      <c r="D33" s="19">
        <f>34756.28+11430.52</f>
        <v>46186.8</v>
      </c>
      <c r="E33" s="325"/>
      <c r="F33" s="333"/>
    </row>
    <row r="34" spans="1:6" ht="12.75">
      <c r="A34" s="641" t="s">
        <v>2</v>
      </c>
      <c r="B34" s="642"/>
      <c r="C34" s="225">
        <f>C8+C22</f>
        <v>247050</v>
      </c>
      <c r="D34" s="225">
        <f>D8+D22</f>
        <v>107547.33</v>
      </c>
      <c r="E34" s="225">
        <f>D34*100/C34</f>
        <v>43.532616879174256</v>
      </c>
      <c r="F34" s="333"/>
    </row>
    <row r="35" spans="1:6" ht="12.75">
      <c r="A35" s="641" t="s">
        <v>1109</v>
      </c>
      <c r="B35" s="642"/>
      <c r="C35" s="225">
        <f>C15+C27</f>
        <v>247050</v>
      </c>
      <c r="D35" s="225">
        <f>D15+D27</f>
        <v>96333.14000000001</v>
      </c>
      <c r="E35" s="225">
        <f>D35*100/C35</f>
        <v>38.993377858733055</v>
      </c>
      <c r="F35" s="334"/>
    </row>
  </sheetData>
  <mergeCells count="14">
    <mergeCell ref="A3:F3"/>
    <mergeCell ref="A5:A6"/>
    <mergeCell ref="B5:B6"/>
    <mergeCell ref="C5:C6"/>
    <mergeCell ref="D5:D6"/>
    <mergeCell ref="E5:E6"/>
    <mergeCell ref="F5:F6"/>
    <mergeCell ref="F9:F13"/>
    <mergeCell ref="A33:B33"/>
    <mergeCell ref="A34:B34"/>
    <mergeCell ref="A35:B35"/>
    <mergeCell ref="F16:F19"/>
    <mergeCell ref="F23:F25"/>
    <mergeCell ref="F28:F30"/>
  </mergeCells>
  <printOptions horizontalCentered="1"/>
  <pageMargins left="0.11811023622047245" right="0.11811023622047245" top="0.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2006-08-11T09:24:32Z</cp:lastPrinted>
  <dcterms:created xsi:type="dcterms:W3CDTF">2005-08-02T09:58:16Z</dcterms:created>
  <dcterms:modified xsi:type="dcterms:W3CDTF">2006-09-14T07:56:45Z</dcterms:modified>
  <cp:category/>
  <cp:version/>
  <cp:contentType/>
  <cp:contentStatus/>
</cp:coreProperties>
</file>