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Zał.Nr1" sheetId="1" r:id="rId1"/>
    <sheet name="Zał.Nr2" sheetId="2" r:id="rId2"/>
    <sheet name="Zał.Nr3" sheetId="3" r:id="rId3"/>
    <sheet name="Zał.Nr4" sheetId="4" r:id="rId4"/>
    <sheet name="Prognoza długu" sheetId="5" r:id="rId5"/>
    <sheet name="Zał.Nr5" sheetId="6" r:id="rId6"/>
    <sheet name="Zał.Nr6" sheetId="7" r:id="rId7"/>
    <sheet name="Zał.Nr7" sheetId="8" r:id="rId8"/>
    <sheet name="Zał.Nr8" sheetId="9" r:id="rId9"/>
    <sheet name="Zał.Nr9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<sst xmlns="http://schemas.openxmlformats.org/spreadsheetml/2006/main" count="1139" uniqueCount="571">
  <si>
    <t xml:space="preserve">Zakup materiałów bieżącego utrzymania oraz materiałów na organizację imprez plenerowo-sportowych, zakup sprzętu sportowego , zakup trawy, nawozów </t>
  </si>
  <si>
    <t>INWESTYCJE</t>
  </si>
  <si>
    <t>Zał.Nr 3 do Uchwały Nr XLII/254/05 Rady Gminy Kaźmierz z dnia 21.12.2005r</t>
  </si>
  <si>
    <t xml:space="preserve">Zał.Nr 3 </t>
  </si>
  <si>
    <t>Zał.Nr 4 do Uchwały Nr XLII/254/05 Rady Gminy Kaźmierz z dnia 21.12.2005r</t>
  </si>
  <si>
    <t>Zmiana</t>
  </si>
  <si>
    <t>Wykonanie na 30.06.2005r.</t>
  </si>
  <si>
    <t>Plan rozchodów po zmianach</t>
  </si>
  <si>
    <t>W dniu 27 czerwca br. złożono w Banku Gospodarstwa Krajowego w Poznaniu  wniosek o udzielenie kredytu ze środków Europejskiego Banku Inwestycyjnego na przedsięwzięcie pn."Budowa gimnazjum wraz z salą gimnastyczną w Kaźmierzu".Kwota wnioskowanego kredytu wynosi 2.600.000,00 zł. Przygotowano również wniosek do BGK w Poznaiu o kredyt preferencyjny z Funduszu Rozwoju Inwestycji Komunalnych na sfinansowanie części kosztów przygotowania w/w inwestycji. Kwota wnioskowanego kredytu wynosi 131.800,00 zł.</t>
  </si>
  <si>
    <t>W okresie od początku roku do dnia 30 czerwca 2005 spłaty rat kredytowych odbywały się zgodnie z harmonogramem spłat określonym w umowach kredytowych i pożyczkowych. W tym okresie nastąpiło umorzenie 30% kwoty pożyczki z Wojewódzkiego Funduszu Ochrony Środowiska i Gospodarki Wodnej w Poznaniu Nr umowy 66/P/Po/OW/02(psmo WFOŚiGW, znak FOŚ-III/MK/42/152/05/ił z dn.20.04.2005r.)</t>
  </si>
  <si>
    <t>Zał.Nr 5 do Uchwały Nr XLII/254/05 Rady Gminy Kaźmierz z dnia 21.12.2005r</t>
  </si>
  <si>
    <t>Zał.Nr 6 do Uchwały Nr XLII/254/05 Rady Gminy Kaźmierz z dnia 21.12.2005r</t>
  </si>
  <si>
    <t xml:space="preserve">Opracowanie publikacji na temat przyrody Gminy Kaźmierz </t>
  </si>
  <si>
    <t>Urząd Marszałkowski – rozliczenie opłat za gospodarcze</t>
  </si>
  <si>
    <t>korzystanie ze środowiska</t>
  </si>
  <si>
    <t>kapitalizacja odsetek</t>
  </si>
  <si>
    <t>Zaplanowane środki przeznaczono na:</t>
  </si>
  <si>
    <t>edukacja ekologiczna</t>
  </si>
  <si>
    <t>opracowanie koncepcji rozbudowy oczyszczalni ścieków</t>
  </si>
  <si>
    <t>zagospodarowanie i utrzymanie terenów zielonych</t>
  </si>
  <si>
    <t>pojemniki do segregacji odpadów</t>
  </si>
  <si>
    <t>wycinka drzew</t>
  </si>
  <si>
    <t>prowizje bankowe</t>
  </si>
  <si>
    <t>Zał.Nr 7 do Uchwały Nr XLII/254/05 Rady Gminy Kaźmierz z dnia 21.12.2005r</t>
  </si>
  <si>
    <t>Zał.Nr 8 do Uchwały Nr XLII/254/05 Rady Gminy Kaźmierz z dnia 21.12.2005r</t>
  </si>
  <si>
    <t>Wykonanie na 30.09.2005r.</t>
  </si>
  <si>
    <t>Plan wydatków budżetowych na 2006r.  Wg zapotrzebowania</t>
  </si>
  <si>
    <t>Plan wydatków budżetowych na 2006r.korekta I</t>
  </si>
  <si>
    <t>Plan wydatków budżetowych na 2005r.</t>
  </si>
  <si>
    <t>Wydziały/WPI</t>
  </si>
  <si>
    <t>Wójt</t>
  </si>
  <si>
    <t>Rada Gminy</t>
  </si>
  <si>
    <r>
      <t xml:space="preserve">Zakup 3 zestawów komputerowych ATX </t>
    </r>
    <r>
      <rPr>
        <b/>
        <sz val="10"/>
        <rFont val="Times New Roman CE"/>
        <family val="0"/>
      </rPr>
      <t>12.800,00</t>
    </r>
    <r>
      <rPr>
        <sz val="10"/>
        <rFont val="Times New Roman CE"/>
        <family val="1"/>
      </rPr>
      <t xml:space="preserve">, </t>
    </r>
    <r>
      <rPr>
        <sz val="10"/>
        <rFont val="Times New Roman CE"/>
        <family val="1"/>
      </rPr>
      <t xml:space="preserve">duplex drukarki laserowej LJ 5100PCL 6 </t>
    </r>
    <r>
      <rPr>
        <b/>
        <sz val="10"/>
        <rFont val="Times New Roman CE"/>
        <family val="0"/>
      </rPr>
      <t>2.600,00</t>
    </r>
  </si>
  <si>
    <t>Zał.Nr 9 do Uchwały Nr XLII/254/05 Rady Gminy Kaźmierz z dnia 21.12.2005r</t>
  </si>
  <si>
    <t>Z uwagi na brak przewidywanych wcześniej środków finansowych zakres prac polegających na modernizacji został zmieniony. W roku 2006 planowano wykonać całkowity projekt inwestycji za 50.000 PLN, (szacunkowa wartość).Nieotrzymanie dotacji z ANR w 2006r. spowodowało, że zaplanowano tylko przygotowanie dokumentacji do wykonania ostatecznego projektu. W związku z przesunięciem terminu wykonania dokumentacji projektowej zmianie uległ również zakres wykonywanych prac w 2007 i 2008 roku..</t>
  </si>
  <si>
    <t>Wartość inwestycji przedstawiona w zał.nr 4 do Uchwały  Nr XXXVIII/230/05 z dnia 29 lipca 2005r. Była określona na podstawie szacunku. Po przetargu wartość inwestycji wynosi 444.479,00 PLN.</t>
  </si>
  <si>
    <t>Z uwagi na brak  środków finansowych zakres wykonywanych prac w wodociągowaniu rejonu ul.Polna - Reja w Kaźmierzu został przesunięty w czasie.</t>
  </si>
  <si>
    <t>Brak potrzebnych środków finansowych spowodował, że zakres wykonywanych prac w wodociągowaniu ul.Szkolnej w Kaźmierzu został przesunięty w czasie.</t>
  </si>
  <si>
    <t>Pilna konieczność zaopatrzenia mieszkańców Radzyn w wodę przyspieszono wykonanie rozpoczętych już prac przy wodociągowaniu.</t>
  </si>
  <si>
    <t>Wobec braku  środków finansowych zakres wykonywanych prac przy przebudowie płyty Rynku w Kaźmierzu został przesunięty w czasie.</t>
  </si>
  <si>
    <t>Zadanie zostało przesunięte w czasie w skutek braku dostatecznych środków finansowych.</t>
  </si>
  <si>
    <t>Brak środków finansowych spowodował przesunięcie tej inwestycji na dalsze lata.</t>
  </si>
  <si>
    <t>Z uwagi na brak  środków finansowych zakres wykonywanych prac został przesunięty w czasie.</t>
  </si>
  <si>
    <t>Wartość inwestycji przedstawiona w zał.nr 4 do Uchwały  Nr XXXVIII/230/05 z dnia 29 lipca 2005r. została określona na podstawie szacunku. Po uzgodnieniach z zakładem energetycznym kwota inwestycji uległa zmianie</t>
  </si>
  <si>
    <t>Koszt Gimnazjum</t>
  </si>
  <si>
    <t>wydatki 2003r</t>
  </si>
  <si>
    <t>wydatki 2004r</t>
  </si>
  <si>
    <t>projekt stacji gazowej</t>
  </si>
  <si>
    <t>nadzorca budowy</t>
  </si>
  <si>
    <t>roboty budowlane</t>
  </si>
  <si>
    <t>przyłącza</t>
  </si>
  <si>
    <t>komputery</t>
  </si>
  <si>
    <t>projekt podłogi</t>
  </si>
  <si>
    <t>zabezpieczenie umowy</t>
  </si>
  <si>
    <t>warunki techniczne</t>
  </si>
  <si>
    <t>dziennik budowy</t>
  </si>
  <si>
    <t>środki własne</t>
  </si>
  <si>
    <t>ZPORR</t>
  </si>
  <si>
    <t>Budżet</t>
  </si>
  <si>
    <t>kredyt</t>
  </si>
  <si>
    <t>Zakup tablic informacji wizualnej dla sołectw 20 szt.</t>
  </si>
  <si>
    <t>Wydatki sołectw, utrzymanie  świetlic wiejskich, organizacja imprez okolicznościowych na terenie sołectw</t>
  </si>
  <si>
    <t>Diety za udział w akcjach. Koszt wynika z liczby wyjazdów x liczba strażaków x liczba godzin x 4,50zł</t>
  </si>
  <si>
    <t>Umowy zlecenie</t>
  </si>
  <si>
    <t>Zakup energii w strażnicach OSP oraz gazu w strażnicy w Kaźmierzu, Kopaninie i Sokolnikach Małych</t>
  </si>
  <si>
    <t>Odsetki kredytowe - prefinansowanie</t>
  </si>
  <si>
    <t>Dodatki mieszkaniowe, dodatki wiejskie, środki Bhp dla nauczycieli i pracowników obsługi, pomoc zdrowotna dla nauczycieli</t>
  </si>
  <si>
    <t>Inne formy pomocy dla uczniów</t>
  </si>
  <si>
    <t>Wynagrodzenia osobowe, w tym odprawy emerytalne i nagrody jubileuszowe</t>
  </si>
  <si>
    <t>Materiały biurowe, środki czystości, olej opałowy SP Bytyń 90.000,00, węgiel SP Gaj Wielki 20.000,00</t>
  </si>
  <si>
    <r>
      <t>Energia 33.200,00, woda 7.600,00, gaz 45.500,00, CO</t>
    </r>
    <r>
      <rPr>
        <b/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44.000,00</t>
    </r>
  </si>
  <si>
    <t>Naprawy , konserwacje</t>
  </si>
  <si>
    <t>Zakup usług dostępu do sieci Internet</t>
  </si>
  <si>
    <t>Koszty podłaczenia do internetu pracowni internetowych</t>
  </si>
  <si>
    <t>Rózne opłaty i składki</t>
  </si>
  <si>
    <t>Ubezpieczenia budynków</t>
  </si>
  <si>
    <t>Oddziały przedszkolne w szkołach podstawowych</t>
  </si>
  <si>
    <t>Artykuły biurowe, środki czystości</t>
  </si>
  <si>
    <t>Energia, woda, gaz</t>
  </si>
  <si>
    <t>Naprawy, konserwacje sprzętu.</t>
  </si>
  <si>
    <t>Opłaty RTV, opłaty za telefon, usługi komunalne, pralnie,  prowizje bankowe</t>
  </si>
  <si>
    <t>Koszty delegacji służbowych</t>
  </si>
  <si>
    <r>
      <t xml:space="preserve">Dotacje dla przedszkoli niepublicznych Sokolniki Wielkie 280złx45x12m-cy </t>
    </r>
    <r>
      <rPr>
        <b/>
        <sz val="10"/>
        <rFont val="Times New Roman CE"/>
        <family val="0"/>
      </rPr>
      <t>151.200,00,</t>
    </r>
    <r>
      <rPr>
        <sz val="10"/>
        <rFont val="Times New Roman CE"/>
        <family val="1"/>
      </rPr>
      <t xml:space="preserve"> pozostałe </t>
    </r>
    <r>
      <rPr>
        <b/>
        <sz val="10"/>
        <rFont val="Times New Roman CE"/>
        <family val="0"/>
      </rPr>
      <t>19.200,00 (</t>
    </r>
    <r>
      <rPr>
        <sz val="10"/>
        <rFont val="Times New Roman CE"/>
        <family val="1"/>
      </rPr>
      <t>zgodnie z Uchwałą Nr XVIII/119/04 Rady Gminy Kaźmierz z dn.05.03.2004r.)</t>
    </r>
  </si>
  <si>
    <t>Naprwy, konserwacje</t>
  </si>
  <si>
    <t>Ubezpieczenie budynków</t>
  </si>
  <si>
    <t>Energia, woda,gaz od IX 2006r.</t>
  </si>
  <si>
    <t>Opłata za pracownie internetowe</t>
  </si>
  <si>
    <t>Budowa gimnazjum z salą gimnastyczną w Kaźmierzu ZPORR</t>
  </si>
  <si>
    <t>Budowa gimnazjum z salą gimnastyczną w Kaźmierzu środki własne, budżet państwa</t>
  </si>
  <si>
    <t>Bhp</t>
  </si>
  <si>
    <r>
      <t xml:space="preserve">Usługa dowożenia dzieci do szkół </t>
    </r>
    <r>
      <rPr>
        <b/>
        <sz val="10"/>
        <rFont val="Times New Roman CE"/>
        <family val="0"/>
      </rPr>
      <t>260.000,00</t>
    </r>
    <r>
      <rPr>
        <sz val="10"/>
        <rFont val="Times New Roman CE"/>
        <family val="1"/>
      </rPr>
      <t xml:space="preserve">, dowożenie dzieci niepełnosprawnych </t>
    </r>
    <r>
      <rPr>
        <b/>
        <sz val="10"/>
        <rFont val="Times New Roman CE"/>
        <family val="0"/>
      </rPr>
      <t>7.000,00</t>
    </r>
  </si>
  <si>
    <t>Wynagrodzenie pracowników GZO oraz osób zatrudnionych z programu Szwajcarski Zegarek</t>
  </si>
  <si>
    <t>Artykuły biurowe, książki i czasopisma fachowe, tonery do drukarek</t>
  </si>
  <si>
    <t>FŚS dla emerytowanych nauczycieli i pracowników oświaty (41 osób x 855,00).Szacunek na podstawie pisma MENiS DE-3-339-7/05</t>
  </si>
  <si>
    <t>Wydatki na pomoc finansową udzielaną między jednostkami samorządu terytorialnego na dofinansowanie własnych zadań inwestycyjnych i zakupów inwestycyjnych</t>
  </si>
  <si>
    <t>100% UG</t>
  </si>
  <si>
    <t xml:space="preserve">Świadczenia rodzinne i zaliczki alimentacyjne </t>
  </si>
  <si>
    <t>Koszty obsługi</t>
  </si>
  <si>
    <r>
      <t xml:space="preserve">zadania zlecone WUW P-ń </t>
    </r>
    <r>
      <rPr>
        <b/>
        <sz val="10"/>
        <rFont val="Times New Roman CE"/>
        <family val="1"/>
      </rPr>
      <t>63.800,00</t>
    </r>
    <r>
      <rPr>
        <sz val="10"/>
        <rFont val="Times New Roman CE"/>
        <family val="1"/>
      </rPr>
      <t xml:space="preserve">, zad.własne UG </t>
    </r>
    <r>
      <rPr>
        <b/>
        <sz val="10"/>
        <rFont val="Times New Roman CE"/>
        <family val="1"/>
      </rPr>
      <t>130.000,00</t>
    </r>
  </si>
  <si>
    <t>UG w 100%</t>
  </si>
  <si>
    <t>Zakup usług przez jednostki samorządu terytorialnego od innych jednostek samorządu terytorialnego</t>
  </si>
  <si>
    <t>Budowa sieci kanalizacji sanitarnej w Piersku</t>
  </si>
  <si>
    <r>
      <t xml:space="preserve">Zmiana systemu oświetlenia na terenie gminy </t>
    </r>
    <r>
      <rPr>
        <b/>
        <sz val="10"/>
        <rFont val="Times New Roman CE"/>
        <family val="0"/>
      </rPr>
      <t>9.638,00</t>
    </r>
    <r>
      <rPr>
        <sz val="10"/>
        <rFont val="Times New Roman CE"/>
        <family val="1"/>
      </rPr>
      <t xml:space="preserve">, przebudowa linii NN Kaźmierz ul.Polna </t>
    </r>
    <r>
      <rPr>
        <b/>
        <sz val="10"/>
        <rFont val="Times New Roman CE"/>
        <family val="0"/>
      </rPr>
      <t>15.000,00</t>
    </r>
  </si>
  <si>
    <r>
      <t xml:space="preserve">Zakup materiałów bieżącego utrzymania toalet publicznych </t>
    </r>
    <r>
      <rPr>
        <b/>
        <sz val="10"/>
        <rFont val="Times New Roman CE"/>
        <family val="0"/>
      </rPr>
      <t>2.000,00</t>
    </r>
    <r>
      <rPr>
        <sz val="10"/>
        <rFont val="Times New Roman CE"/>
        <family val="1"/>
      </rPr>
      <t xml:space="preserve">, zakup pojemników do selektywnej zbiórki </t>
    </r>
    <r>
      <rPr>
        <b/>
        <sz val="10"/>
        <rFont val="Times New Roman CE"/>
        <family val="0"/>
      </rPr>
      <t>10.000,00</t>
    </r>
  </si>
  <si>
    <r>
      <t xml:space="preserve">Inne usługi związane z utrzymaniem toalet publicznych </t>
    </r>
    <r>
      <rPr>
        <b/>
        <sz val="10"/>
        <rFont val="Times New Roman CE"/>
        <family val="0"/>
      </rPr>
      <t>2.000,00</t>
    </r>
    <r>
      <rPr>
        <sz val="10"/>
        <rFont val="Times New Roman CE"/>
        <family val="1"/>
      </rPr>
      <t xml:space="preserve">, umowa ze schroniskiem bezpańsich zwierząt </t>
    </r>
    <r>
      <rPr>
        <b/>
        <sz val="10"/>
        <rFont val="Times New Roman CE"/>
        <family val="0"/>
      </rPr>
      <t>10.000,00</t>
    </r>
  </si>
  <si>
    <t>Budowa sieci gazowej na terenie gminy.</t>
  </si>
  <si>
    <t>Gospodarz obiektu sportowego w K-rzu i Bytyniu, obsługa strzelnicy LOK - umowy zlecenie, sędziowanie zawodów sportowych</t>
  </si>
  <si>
    <t>NA 2006r.</t>
  </si>
  <si>
    <t>PRZYCHODY I ROZCHODY 2006r.</t>
  </si>
  <si>
    <t>Prognoza długu Gminy Kaźmierz na lata 2006 - 2016</t>
  </si>
  <si>
    <t>1. Zadłużenie gminy Kaźmierz na 31.12.2005r.</t>
  </si>
  <si>
    <t>Prognoza na rok 2016</t>
  </si>
  <si>
    <t>§         2350</t>
  </si>
  <si>
    <t>(Dz.U.z 2003r Nr 15, poz.148, Nr45, poz.391, Nr 65, poz.594, Nr 96, poz.874, Nr 166, poz.1611, Nr 189, poz.1851, z 2004r. Nr 19, poz.177, Nr 93, poz.890, Nr 123, poz.1291, Nr 121, poz.1264, Nr 210, poz.2135, Nr 273, poz.2703, z 2005 Nr 14, poz.114, Nr 64, poz.565)</t>
  </si>
  <si>
    <t>Plan przychodów i wydatków</t>
  </si>
  <si>
    <t>Gminnego Funduszu Ochrony Środowiska i Gospodarki Wodnej</t>
  </si>
  <si>
    <t>na 2006 rok</t>
  </si>
  <si>
    <t>Plan przychodów/wydatków w 2006r.</t>
  </si>
  <si>
    <t>Stan konta bankowego na 01.01.2006r.</t>
  </si>
  <si>
    <r>
      <t xml:space="preserve">Wpływy na rzecz funduszu pochodzące z opłat za gospodarcze korzystanie ze środowiska przez podmioty gospodarcze z terenu gminy </t>
    </r>
    <r>
      <rPr>
        <b/>
        <sz val="10"/>
        <rFont val="Times New Roman CE"/>
        <family val="0"/>
      </rPr>
      <t>18.000,00</t>
    </r>
    <r>
      <rPr>
        <sz val="10"/>
        <rFont val="Times New Roman CE"/>
        <family val="1"/>
      </rPr>
      <t>, przejęcie przez gminę świadczenia usług na podstawie art..6 ust.6 ustawy z dnia 13.09.1996r. O utrzymaniu czystości i porządku w gminach (Dz.U. z 1996r. Nr 132, poz.622 z późn.zm.)</t>
    </r>
    <r>
      <rPr>
        <b/>
        <sz val="10"/>
        <rFont val="Times New Roman CE"/>
        <family val="0"/>
      </rPr>
      <t xml:space="preserve"> 7.000,00</t>
    </r>
  </si>
  <si>
    <t>Wydatki związane z: akcją Sprzątanie Świata, realizacją Gminnego Programu Ochrony Środowiska i Planu Gospodarki Odpadami, obchodami Dnia Ziemi, pozostałymi wydatkami związanymi z ochroną środowiska na terenie gminy</t>
  </si>
  <si>
    <t>PLAN PRZYCHODÓW I WYDATKÓW ZAKŁADU USŁUG  KOMUNALNYCH W KAŹMIERZU W 2006r.</t>
  </si>
  <si>
    <t>WYDATKI MAJĄTKOWE GMINY KAŹMIERZ W 2006r.</t>
  </si>
  <si>
    <t>2003/2004</t>
  </si>
  <si>
    <t>2006-2008</t>
  </si>
  <si>
    <t>Sieć wodociągowa od m.Młodasko do m.Bytyń</t>
  </si>
  <si>
    <t>?</t>
  </si>
  <si>
    <t>2008-2013</t>
  </si>
  <si>
    <t>2007-2010</t>
  </si>
  <si>
    <t>Budowa ścieżek chodników Gaj Wielki, Sokolniki Wielkie, Bytyń ul.Bursztynowa, Kaźmierz ul.Dworcowa</t>
  </si>
  <si>
    <t>2007-2008</t>
  </si>
  <si>
    <t>2005-2009</t>
  </si>
  <si>
    <t>Dz</t>
  </si>
  <si>
    <t>Rozdz</t>
  </si>
  <si>
    <t>§</t>
  </si>
  <si>
    <t>Treść</t>
  </si>
  <si>
    <t>Zmiany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</si>
  <si>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</si>
  <si>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</si>
  <si>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</si>
  <si>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</si>
  <si>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</si>
  <si>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</si>
  <si>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</si>
  <si>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</si>
  <si>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</si>
  <si>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</si>
  <si>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</si>
  <si>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</si>
  <si>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</si>
  <si>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</si>
  <si>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</si>
  <si>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</si>
  <si>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</si>
  <si>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</si>
  <si>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Za dzierżawę polnych obwodów łowieckich </t>
  </si>
  <si>
    <t>Wytwarzanie i zaopatrywanie w energię elektryczną, gaz i wodę</t>
  </si>
  <si>
    <t>0490</t>
  </si>
  <si>
    <t>Wpływy z innych lokalnych opłat pobieranych przez jednostki samorządu terytorialnego na podstawie odrębnych ustaw</t>
  </si>
  <si>
    <t>Transport i łączność</t>
  </si>
  <si>
    <t>Drogi publiczne gminne</t>
  </si>
  <si>
    <t>Dotacje otrzymane z funduszy celowych na finansowanie lub dofinansowanie kosztów realizacji inwestycji i zakupów inwestycyjnych jednostek sektora finansów publicznych</t>
  </si>
  <si>
    <t>FOGR 58.500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</si>
  <si>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</si>
  <si>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</si>
  <si>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</si>
  <si>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</si>
  <si>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</si>
  <si>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</si>
  <si>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</si>
  <si>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</si>
  <si>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0920</t>
  </si>
  <si>
    <t>Pozostałe odsetki</t>
  </si>
  <si>
    <t>Odsetki z ratalnej sprzedaży mieszkań i budynków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</si>
  <si>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</si>
  <si>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</si>
  <si>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</si>
  <si>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</si>
  <si>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Urzędy gmin</t>
  </si>
  <si>
    <t>0690</t>
  </si>
  <si>
    <t>Wpływy z różnych opłat</t>
  </si>
  <si>
    <t>Urzędy naczelnych organów władzy państwowej, kontroli i ochrony prawa i sądownictwa</t>
  </si>
  <si>
    <t>Urzędy naczelnych organów władzy państwowej, kontroli i ochrony prawa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</si>
  <si>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</si>
  <si>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</si>
  <si>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</si>
  <si>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</si>
  <si>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</si>
  <si>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</si>
  <si>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</si>
  <si>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</si>
  <si>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</si>
  <si>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</si>
  <si>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</si>
  <si>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</si>
  <si>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</si>
  <si>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</si>
  <si>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</si>
  <si>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</si>
  <si>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</si>
  <si>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</si>
  <si>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</si>
  <si>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</si>
  <si>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</si>
  <si>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</si>
  <si>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</si>
  <si>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</si>
  <si>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Uchwała nr XV/101/03 Rady Gminy Kaźmierz z dnia 27 listopada 2003r.</t>
  </si>
  <si>
    <t>0450</t>
  </si>
  <si>
    <t>Wpływy z opłaty administracyjnej za czynności urzędowe</t>
  </si>
  <si>
    <t>Za wyrys i wypis z planu zagospodarowania przestrzennego,Uchwała XV/103/03 Rady Gminy Kaźmierz z dnia 27 listpada 2003r.</t>
  </si>
  <si>
    <t>Odsetki za nieterminowe regulowanie należności podatkowych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</si>
  <si>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</si>
  <si>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</si>
  <si>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</si>
  <si>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</si>
  <si>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</si>
  <si>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</si>
  <si>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</si>
  <si>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</si>
  <si>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</si>
  <si>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</si>
  <si>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</si>
  <si>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</si>
  <si>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</si>
  <si>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</si>
  <si>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</si>
  <si>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</si>
  <si>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</si>
  <si>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Środki z kapitalizacji odsetek na kontach bankowych</t>
  </si>
  <si>
    <t>Oświata i wychowanie</t>
  </si>
  <si>
    <t>Szkoły podstawowe</t>
  </si>
  <si>
    <t xml:space="preserve">Przedszkola </t>
  </si>
  <si>
    <t>0830</t>
  </si>
  <si>
    <t>Wpływy z usług</t>
  </si>
  <si>
    <t>Gimnazja</t>
  </si>
  <si>
    <t>Środki na dofinasowanie własnych inwestycji gmin pozyskane z innych źródeł</t>
  </si>
  <si>
    <t>Dofinansowanie projektu w ramach Priorytetu 3 z środków ZPORR</t>
  </si>
  <si>
    <t>Dotacje celowe otrzymane z budżetu państwa na realizację inwestycji i zakupów inwestycyjnych własnych gmin</t>
  </si>
  <si>
    <t>Dofinansowanie projektu w ramach Priorytetu 3 z środków budżetu Państwa</t>
  </si>
  <si>
    <t>Dowożenie uczniów</t>
  </si>
  <si>
    <t>0970</t>
  </si>
  <si>
    <t>Wpływy z różnych dochodów</t>
  </si>
  <si>
    <t>Zespoły obsługi ekonomiczno-administracyjnej szkół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</si>
  <si>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</si>
  <si>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</si>
  <si>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</si>
  <si>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społeczne</t>
  </si>
  <si>
    <t>Dotacje celowe przekazane z budżetu państwa na realizację własnych zadań bieżących gmin</t>
  </si>
  <si>
    <t>Zasiłki rodzinne, pielęgnacyjne i wychowawcze</t>
  </si>
  <si>
    <t>Ośrodki pomocy społecznej</t>
  </si>
  <si>
    <t>Kapitalizacja odsetek na koncie bankowym GOPS</t>
  </si>
  <si>
    <t>Usuwanie skutków klęsk żywiołowych</t>
  </si>
  <si>
    <t>Gospodarka komunalna i ochrona środowiska</t>
  </si>
  <si>
    <t>Gospodarka ściekowa i ochrona wód</t>
  </si>
  <si>
    <t>Fundusz Ochrony Środowiska i Gospodarki Wodnej</t>
  </si>
  <si>
    <t>0400</t>
  </si>
  <si>
    <t>Wpływy z opłaty produktowej</t>
  </si>
  <si>
    <t>OGÓŁEM</t>
  </si>
  <si>
    <t>Rozdz.</t>
  </si>
  <si>
    <t>010</t>
  </si>
  <si>
    <t>Rolnictwo i łowiectwo</t>
  </si>
  <si>
    <t>01008</t>
  </si>
  <si>
    <t>Melioracje wodne</t>
  </si>
  <si>
    <t>Zakup materiałów i wyposażenia</t>
  </si>
  <si>
    <t>Materiały melioracyjne</t>
  </si>
  <si>
    <t>Zakup usług remontowych</t>
  </si>
  <si>
    <t>Bieżące utrzymanie urządzeń melioracji wodnej, konserawcja , odmulanie dna, odbudowa skarp, wykaszanie skarp i dna, hakowanie oraz czyszczenie wylotów drenarskich.</t>
  </si>
  <si>
    <t>Zakup usług pozostałych</t>
  </si>
  <si>
    <t>01010</t>
  </si>
  <si>
    <t>Infrastruktura wodociągowa i sanitacji wsi</t>
  </si>
  <si>
    <t>Wydatki inwestycyjne jednostek budżetowych</t>
  </si>
  <si>
    <t>01022</t>
  </si>
  <si>
    <t>Zwalczanie chorób zakaźnych zwierząt oraz badania monitoringowe pozostałości chemicznych i biologicznych w tkankach zwierząt i produktach pochodzenia zwierzęcego</t>
  </si>
  <si>
    <t>Koszty związane z odbiorem padliny z terenu gminy zgodnie z art..9 ust.1 i 7 ustawy z dnia 24 kwietnia 1997r. o zwalczaniu chorób zakaźnych zwierząt (Dz.U. z 1999r. Nr 66 poz.752 z późn.zmianami) Umowa z firmą STRUGA S.A.</t>
  </si>
  <si>
    <t>01030</t>
  </si>
  <si>
    <t>Izby rolnicze</t>
  </si>
  <si>
    <t>Wpłaty gmin na rzecz izb rolniczych w wysokości 2% uzyskanych wpływów z podatku rolnego</t>
  </si>
  <si>
    <t>Odpis w wysokości 2% należne izbom rolniczym art..35 ust.1 pkt1 ustawy z dnia 14.12.1995r. o izbach rolniczych (t.j. Dz.U. z 2002r. Nr101, poz 927 ze zm.)</t>
  </si>
  <si>
    <t>01095</t>
  </si>
  <si>
    <t>Cięcie i wycinka drzew</t>
  </si>
  <si>
    <t xml:space="preserve">Różne jednostki obsługi gospodarki mieszkaniowej </t>
  </si>
  <si>
    <t xml:space="preserve">Dotacja przedmiotowa z budżetu dla zakładu budżetowego </t>
  </si>
  <si>
    <t>Dotacja przedmiotowa dla ZUK w Kaźmierzu, zgodnie z uchwałą Nr XVII/115/03 Rady Gminy Kaźmierz z dn.30.12.2003r.,zmienionej uchwałą nr XVIII/121/04 Rady Gminy Kaźmierz z dn.05.03.2004</t>
  </si>
  <si>
    <t>Ogłoszenia o przetargach, wycena nieruchomości, podziały nieruchomości, opłaty sądowe za założenie księgi wieczystej i za wypis prawa własności, mapy, wyciągi, odtworzenie granic, koszty komunalizacyjne</t>
  </si>
  <si>
    <t>Przebudowa płyty Rynku w Kaźmierzu</t>
  </si>
  <si>
    <t>Działalność usługowa</t>
  </si>
  <si>
    <t>Plany zagospodarowania przestrzennego</t>
  </si>
  <si>
    <t>Opracowania geodezyjne i kartograficzne</t>
  </si>
  <si>
    <t>Usługi geodezyjne i urbanistyczne</t>
  </si>
  <si>
    <t>Wynagrodzenia osobowe pracowników</t>
  </si>
  <si>
    <t>Realizacja zadań rządowych zleconych gminom</t>
  </si>
  <si>
    <t>Składki na ubezpieczenie społeczne</t>
  </si>
  <si>
    <t>Rady gmin</t>
  </si>
  <si>
    <t>Różne wydatki na rzecz osób fizycznych</t>
  </si>
  <si>
    <t>Usługi związane z obsługą Biura Rady, usługi poligraficzne związane z wydawaniem Obserwatora</t>
  </si>
  <si>
    <t>Podróże służbowe krajowe</t>
  </si>
  <si>
    <t>Koszty delegacji  krajowych</t>
  </si>
  <si>
    <t>Podróże służbowe zagraniczna</t>
  </si>
  <si>
    <t>Koszty delegacji zagranicznych</t>
  </si>
  <si>
    <t>Nagrody i wydatki osobowe nie zaliczone do wynagrodzeń</t>
  </si>
  <si>
    <t>Środki Bhp, ekwiwalenty za pranie</t>
  </si>
  <si>
    <t>Dodatkowe wynagrodzenia roczne</t>
  </si>
  <si>
    <t>Składki na Fundusz Pracy</t>
  </si>
  <si>
    <t xml:space="preserve"> Art.biurowe,wydatki USC, wydatki sekretariatu, zakup wyposażenia, dodatkowego oprogramowania</t>
  </si>
  <si>
    <t>Zakup energii</t>
  </si>
  <si>
    <t>Energia, woda, gaz, dostawa energii cieplnej</t>
  </si>
  <si>
    <t>Konserwacja centrali telefonicznej, konserwacja systemu alarmowego, urządzeń klimatyzacji oraz pozostałego sprzętu biurowego i wposażenia oraz bieżące naperawy i remonty</t>
  </si>
  <si>
    <t>Różne opłaty i składki</t>
  </si>
  <si>
    <t>Odpisy na zakładowy fundusz świadczeń socjalnych</t>
  </si>
  <si>
    <t xml:space="preserve">Zakup usług remontowych </t>
  </si>
  <si>
    <t>Urzędy naczelnych organów władzy państwowej, kontroli i ochrony prawa oraz sądownictwa</t>
  </si>
  <si>
    <t xml:space="preserve">Urzędy naczelnych organów władzy państwowej, kontroli i ochrony prawa </t>
  </si>
  <si>
    <t>Jednostki terenowe Policji</t>
  </si>
  <si>
    <t xml:space="preserve">Zakup paliwa dla jednostki policji 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</si>
  <si>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</si>
  <si>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</si>
  <si>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Dotacja dla jednostek OSP na zakup sprzetu pożarniczego i ratowniczego z dotacjami z MSWiA, ZGł.ZOSP, ZW ZOSP</t>
  </si>
  <si>
    <t>Paliwo do pojazdów i motopomp, części zamienne, zakup węgla dla OSP Bytyń, węże W52 i W75, materiały bieżącego utrzymania sprzętu i budynków strażnic, materiały związane z konkursami wiedzy pożarniczej oraz z Dniem Strażaka, materiały potrzebne do zorganizaowania zawodów pożarniczych oraz rajdu młodzieżowych drużyn pożarniczych. Prenumerata miesięcznika Strażak</t>
  </si>
  <si>
    <t>Naprawy pojazdów i sprzętu pożarniczego, prace remontowe strażnic w Kopaninie i Kaźmierzu (prace elewacyjne)</t>
  </si>
  <si>
    <t>Badania i opłaty, przeglądy i badania techniczne pojazdów, badania okresowe kierowców i strażaków</t>
  </si>
  <si>
    <t xml:space="preserve">Koszty delegacji </t>
  </si>
  <si>
    <t>ubezpieczenia  AC, OC, NW pojazdów i NW strażaków</t>
  </si>
  <si>
    <t>Realizacja zadań rządowych zleconych gminom z zakresu obrony cywilnej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</si>
  <si>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</si>
  <si>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</si>
  <si>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</si>
  <si>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Wynagrodzenie inkasentów</t>
  </si>
  <si>
    <t>Zakup druków</t>
  </si>
  <si>
    <t>Koszty postępowania sądowego i prokuratorskiego</t>
  </si>
  <si>
    <t>Opłaty komornicze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</si>
  <si>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</si>
  <si>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</si>
  <si>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</si>
  <si>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Odsetki kredytowe</t>
  </si>
  <si>
    <t>Rezerwy ogólne i celowe</t>
  </si>
  <si>
    <t>Rezerwy</t>
  </si>
  <si>
    <t>Dodatki mieszkaniowe, dodatki wiejskie, środki Bhp dla nauczycieli i pracowników oświaty</t>
  </si>
  <si>
    <t>Pomoce naukowe i dydaktyczne, książki</t>
  </si>
  <si>
    <t>Zakup lektur szkolnych, pomocy dydaktycznych.</t>
  </si>
  <si>
    <t>Opłaty RTV, opłaty za telefon, serwis sieci komputerowej, usługi komunalne, pralnie, badania pracownicze</t>
  </si>
  <si>
    <t>Koszty delegacji służbowych nauczycieli</t>
  </si>
  <si>
    <t>Odpis na Zakładowy Fundusz Świadczeń Socjalnych</t>
  </si>
  <si>
    <t>Wydatki na zakupy inwestycyjne jednostek budżetowych</t>
  </si>
  <si>
    <t>Dotacja dla placówki niepublicznej</t>
  </si>
  <si>
    <t>Artykuły biurowe, środki czystości, wyposażenie</t>
  </si>
  <si>
    <t>Pomoce dydaktyczne, książki, wyposażenie kącików tematycznych</t>
  </si>
  <si>
    <t>Koszty delegacji nauczycieli</t>
  </si>
  <si>
    <t>Wynagrodzenia osobowe</t>
  </si>
  <si>
    <t xml:space="preserve">Materiały biurowe, środki czystości, wyposażenie </t>
  </si>
  <si>
    <t>Książki, pomoce dydaktyczne, programy komputerowe</t>
  </si>
  <si>
    <t>Opłaty RTV, opłaty za telefon, serwis sieci komputerowej</t>
  </si>
  <si>
    <t>Wynagrodzenia dla opiekunów dzieci w czasie dowożenia</t>
  </si>
  <si>
    <t>Zespoły ekonomiczno-administracyjne szkół</t>
  </si>
  <si>
    <t>Świadczenia rzeczowe dotyczące Bhp</t>
  </si>
  <si>
    <t>Serwis sieci komputerowej</t>
  </si>
  <si>
    <t>Prowizje bankowe, doskonalenie zawodowe, pozostałe usługi, aktualizacje SIGID</t>
  </si>
  <si>
    <t>Koszty delegacji pracowników GZO</t>
  </si>
  <si>
    <t>Dokształcanie i doskonalenie nauczycieli</t>
  </si>
  <si>
    <t>Ochrona zdrowia</t>
  </si>
  <si>
    <t>Przeciwdziałanie alkoholizmowi</t>
  </si>
  <si>
    <t>Działalność Gminnej Komisji Rozwiązywania Problemów Alkoholowych</t>
  </si>
  <si>
    <t>Wydatki na pomoc finansową udzielaną między jednostkami samorządu terytorialnego na dofinansowanie własnych zadań bieżących</t>
  </si>
  <si>
    <t xml:space="preserve">Pomoc finansowa Gminy Kaźmierz dla Szpitala Powiatowego w Szamotułach na zakup tomografu komputerowego </t>
  </si>
  <si>
    <t>Świadczenia społeczne</t>
  </si>
  <si>
    <t>Składka na ubezpieczenie zdrowotne</t>
  </si>
  <si>
    <t>dot.WUW w 100%</t>
  </si>
  <si>
    <t>Składka na ubezpieczenia społeczne</t>
  </si>
  <si>
    <t>Dodatki mieszkaniowe</t>
  </si>
  <si>
    <t>Podstawa naliczenia dodatków: ustawa o dodatkach mieszkaniowych z dnia 21.06.2001r (Dz.U.Nr 71, poz.734) i Rozp.RM z dnia 28.12.2001 (Dz.U.Nr 156, poz.1817)</t>
  </si>
  <si>
    <t>Środki Bhp dla 7 pracowników, ekwiwalent za pranie</t>
  </si>
  <si>
    <t>Składka na Fundusz Pracy</t>
  </si>
  <si>
    <t>Wynagrodzenia bezosobowe</t>
  </si>
  <si>
    <t>Radca prawny, informatyk - umowy zlecenie</t>
  </si>
  <si>
    <t>Artykuły biurowe, czasopisma fachowe, środki bieżącego urtrzymania ośrodka</t>
  </si>
  <si>
    <t>Energia, woda, CO</t>
  </si>
  <si>
    <t>Naprawa i konserwacja sprzętu</t>
  </si>
  <si>
    <t>Opłaty pocztowe, telefoniczne, czynsz lokalowy, koszty i prowizje bankowe, dokształcanie pracowników.</t>
  </si>
  <si>
    <t>Delegacje pracowników i ryczałty samochodowe</t>
  </si>
  <si>
    <t>Ubezpieczenie sprzętu elektronicznego</t>
  </si>
  <si>
    <t>Usługi opiekuńcze i specjalistyczne usługi opiekuńcze</t>
  </si>
  <si>
    <t xml:space="preserve">UG 100%, </t>
  </si>
  <si>
    <t>Dożywianie uczniów w szkołach</t>
  </si>
  <si>
    <t>Oświetlenie ulic, placów i dróg</t>
  </si>
  <si>
    <t>Zakup żarówek, opraw oświetleniowych, czujników</t>
  </si>
  <si>
    <t>Energia na oświetlenie uliczne</t>
  </si>
  <si>
    <t>Konserwacja oświetlenia ulicznego</t>
  </si>
  <si>
    <t>Bieżąca obsługa oświetlenia ulicznego, wykonanie projektów oświetlenia na terenie gminy ( deptak rej.ul.Szamotulskiej i rej.ul.Nowowiejskiej, krzyżówka w Witkowicach przy trasie A2)</t>
  </si>
  <si>
    <t>Wynagrodzenie bezosobowe</t>
  </si>
  <si>
    <t xml:space="preserve">Umowa zlecenie z pracownikiem obsługującym toalety publiczne </t>
  </si>
  <si>
    <t>Gaz i energia w toaletach</t>
  </si>
  <si>
    <t>Kultura i ochrona dziedzictwa narodowego</t>
  </si>
  <si>
    <t>Domy i ośrodki kultury, świetlice i kluby</t>
  </si>
  <si>
    <t>Dotacja podmiotowa z budżetu dla samorządowej instytucji kultury</t>
  </si>
  <si>
    <t>Dotacja dla Gminnego Ośrodka Kultury w Kaźmierzu</t>
  </si>
  <si>
    <t>Biblioteki</t>
  </si>
  <si>
    <t>Dotacja dla Biblioteki Publicznej Gminy Kaźmierz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</si>
  <si>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</si>
  <si>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</si>
  <si>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</si>
  <si>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Wsparcie finansowe na realizację zadań w zakresie kultury fizycznej i sportu (art.5 ust 4.pkt.2 ustawy z dn.24.04.2003r o działalności pożytku publicznego i o wolontariacie)</t>
  </si>
  <si>
    <t>Środki na pozostałą działalność sportową prowadzoną na terenie gminy</t>
  </si>
  <si>
    <t>Energia i woda w obiektach sportowo-rekreacyjnych</t>
  </si>
  <si>
    <t>Monitorowanie obiektu , utrzymanie płyty boiska w Kaźmierzu, usługi komunalne, pozostałe usługi</t>
  </si>
  <si>
    <t>Ubezpieczenia gminnych obiektów sportowych i imprez masowych</t>
  </si>
  <si>
    <t>DOCHODY I WYDATKI NA ZADANIA ZLECONE GMINOM</t>
  </si>
  <si>
    <t>DOCHODY</t>
  </si>
  <si>
    <t>WYDATKI</t>
  </si>
  <si>
    <t>Składki na ubezpieczenie zdrowotne opłacane za osoby pobierające niektóre świadczenia z pomocy społecznej</t>
  </si>
  <si>
    <t>Wyszczególnienie</t>
  </si>
  <si>
    <t>Plan przychodów</t>
  </si>
  <si>
    <t>Plan rozchodów</t>
  </si>
  <si>
    <t>Przychodyz zaciągniętych pożyczek i kredytów na rynku krajowym</t>
  </si>
  <si>
    <t>Spłaty otrzymanych krajowych pożyczek i kredytów</t>
  </si>
  <si>
    <t xml:space="preserve">DOCHODY ZWIĄZANE Z REALIZACJĄ ZADAŃ Z ZAKRESU </t>
  </si>
  <si>
    <t>ADMINISTRACJI RZĄDOWEJ ORAZ INNYCH ZADAŃ ZLECONYCH</t>
  </si>
  <si>
    <t xml:space="preserve"> JEDNOSTCE SAMORZĄDU TERYTORIALNEGO USTAWAMI</t>
  </si>
  <si>
    <t>Dz.      750</t>
  </si>
  <si>
    <t>Rozdz.75011</t>
  </si>
  <si>
    <t xml:space="preserve">Powyższe środki pobrane przez jednostkę samorządu terytorialnego odprowadza się na rachunek </t>
  </si>
  <si>
    <t>budżetu państwa, zgodnie z art.129 ust.2 Ustawy z dnia 26 listopada 1998r  o finansach publicznych</t>
  </si>
  <si>
    <t>PRZYCHODY</t>
  </si>
  <si>
    <t>Dział</t>
  </si>
  <si>
    <t>Nazwa</t>
  </si>
  <si>
    <t xml:space="preserve">Przychody </t>
  </si>
  <si>
    <t>Wydatki</t>
  </si>
  <si>
    <t xml:space="preserve">w tym dotacja </t>
  </si>
  <si>
    <t>Gospodarka komunalna i ochrona srodowiska</t>
  </si>
  <si>
    <t>Plan wydatków na wieloletnie programy inwestycyjne</t>
  </si>
  <si>
    <t>Lp.</t>
  </si>
  <si>
    <t>Nazwa i cel programu</t>
  </si>
  <si>
    <t>Jednostka realizująca program</t>
  </si>
  <si>
    <t xml:space="preserve">Okres realizacji programu </t>
  </si>
  <si>
    <t>Wysokość wydatków w okresie realizacji</t>
  </si>
  <si>
    <t>Źródła finansowania</t>
  </si>
  <si>
    <t xml:space="preserve">Ogółem </t>
  </si>
  <si>
    <t>w tym:</t>
  </si>
  <si>
    <t>Środki własne</t>
  </si>
  <si>
    <t>Środki bezzwrotne z Unii Europejskiej</t>
  </si>
  <si>
    <t>Kredyt</t>
  </si>
  <si>
    <t>Inne źródła</t>
  </si>
  <si>
    <t>Budowa gimnazjum wraz z salą gimnastyczną w Kaźmierzu</t>
  </si>
  <si>
    <t>Gmina Kaźmierz</t>
  </si>
  <si>
    <t>2004-2006</t>
  </si>
  <si>
    <t>Modernizacja SUW  
w Gaju Wielkim</t>
  </si>
  <si>
    <t xml:space="preserve">Sieć wodociągowa Kaźmierz ul.Polna-Reja </t>
  </si>
  <si>
    <t>2004-2009</t>
  </si>
  <si>
    <t>Sieć wodociągowa Kaźmierz ul.Szkolna</t>
  </si>
  <si>
    <t>2004-2010</t>
  </si>
  <si>
    <t>Sieć wodociągowa Radzyny</t>
  </si>
  <si>
    <t>2004-2008</t>
  </si>
  <si>
    <t>Przebudowa Płyty Rynku w Kaźmierzu</t>
  </si>
  <si>
    <t>2004-2012</t>
  </si>
  <si>
    <t>Sieć kanalizacji sanitarnej układ Kaźmierz - Kiączyn</t>
  </si>
  <si>
    <t>2007-2011</t>
  </si>
  <si>
    <t>Sieć kanalizacji deszczowej w aglomeracji Kaźmierz</t>
  </si>
  <si>
    <t xml:space="preserve">Budowa ścieżek rowerowych do Radzyn, Chlewisk </t>
  </si>
  <si>
    <t>Gazyfikacja gminy</t>
  </si>
  <si>
    <t>2005-2013</t>
  </si>
  <si>
    <t xml:space="preserve">Budowa dróg dojazdowych do gruntów rolnych </t>
  </si>
  <si>
    <t>Oświetlenie dróg osiedlowych na terenie gminy Kaźmierz</t>
  </si>
  <si>
    <t>2004-2013</t>
  </si>
  <si>
    <t>2. Planowane w budżecie przychody z tyt.kredytów i pożyczek</t>
  </si>
  <si>
    <t>3. Kwota przewidziana w budżecie na spłatę zadłużeń:</t>
  </si>
  <si>
    <t>a</t>
  </si>
  <si>
    <t>- raty kapitałowe</t>
  </si>
  <si>
    <t>b</t>
  </si>
  <si>
    <t>- odsetki</t>
  </si>
  <si>
    <t>6. Łączna kwota do spłaty rat kredytów i pożyczek wraz z odsetkami w</t>
  </si>
  <si>
    <t>7. Stosunek łącznej kwoty długu na koniec roku budżetowego do dochodów</t>
  </si>
  <si>
    <t xml:space="preserve">    gminy (poz.4/poz.5) w tym roku budżetowym wynosić będzie</t>
  </si>
  <si>
    <t>1. Zadłużenie gminy Kaźmierz na początek roku budżetowego</t>
  </si>
  <si>
    <t>4. Prognozowana kwota długu na dzień 31.12.2006r. (poz.1+2-3a)</t>
  </si>
  <si>
    <t>5. Planowane dochody budżetu gminy na 2006r.</t>
  </si>
  <si>
    <t xml:space="preserve">    stosunku doplanowanych dochodów gminy na 2006r. (poz.3/poz.5)</t>
  </si>
  <si>
    <t>Prognoza na rok 2007</t>
  </si>
  <si>
    <t>4. Prognozowana kwota długu na dzień 31.12.2007r. (poz.1+2-3a)</t>
  </si>
  <si>
    <t>5. Planowane dochody budżetu gminy na 2007r.</t>
  </si>
  <si>
    <t xml:space="preserve">    stosunku doplanowanych dochodów gminy na 2007r. (poz.3/poz.5)</t>
  </si>
  <si>
    <t>Prognoza na rok 2008</t>
  </si>
  <si>
    <t>4. Prognozowana kwota długu na dzień 31.12.2008r. (poz.1+2-3a)</t>
  </si>
  <si>
    <t>5. Planowane dochody budżetu gminy na 2008r.</t>
  </si>
  <si>
    <t xml:space="preserve">    stosunku doplanowanych dochodów gminy na 2008r. (poz.3/poz.5)</t>
  </si>
  <si>
    <t>Prognoza na rok 2009</t>
  </si>
  <si>
    <t>4. Prognozowana kwota długu na dzień 31.12.2009r. (poz.1+2-3a)</t>
  </si>
  <si>
    <t>5. Planowane dochody budżetu gminy na 2009r.</t>
  </si>
  <si>
    <t xml:space="preserve">    stosunku doplanowanych dochodów gminy na 2009r. (poz.3/poz.5)</t>
  </si>
  <si>
    <t>Prognoza na rok 2010</t>
  </si>
  <si>
    <t>4. Prognozowana kwota długu na dzień 31.12.2010r. (poz.1+2-3a)</t>
  </si>
  <si>
    <t>5. Planowane dochody budżetu gminy na 2010r.</t>
  </si>
  <si>
    <t xml:space="preserve">    stosunku doplanowanych dochodów gminy na 2010r. (poz.3/poz.5)</t>
  </si>
  <si>
    <t>Prognoza na rok 2011</t>
  </si>
  <si>
    <t>4. Prognozowana kwota długu na dzień 31.12.2011r. (poz.1+2-3a)</t>
  </si>
  <si>
    <t>5. Planowane dochody budżetu gminy na 2011r.</t>
  </si>
  <si>
    <t xml:space="preserve">    stosunku doplanowanych dochodów gminy na 2011r. (poz.3/poz.5)</t>
  </si>
  <si>
    <t>Prognoza na rok 2012</t>
  </si>
  <si>
    <t>4. Prognozowana kwota długu na dzień 31.12.2012r. (poz.1+2-3a)</t>
  </si>
  <si>
    <t>5. Planowane dochody budżetu gminy na 2012r.</t>
  </si>
  <si>
    <t xml:space="preserve">    stosunku doplanowanych dochodów gminy na 2012r. (poz.3/poz.5)</t>
  </si>
  <si>
    <t>Prognoza na rok 2013</t>
  </si>
  <si>
    <t>4. Prognozowana kwota długu na dzień 31.12.2013r. (poz.1+2-3a)</t>
  </si>
  <si>
    <t>5. Planowane dochody budżetu gminy na 2013r.</t>
  </si>
  <si>
    <t xml:space="preserve">    stosunku doplanowanych dochodów gminy na 2013r. (poz.3/poz.5)</t>
  </si>
  <si>
    <t>Prognoza na rok 2014</t>
  </si>
  <si>
    <t>4. Prognozowana kwota długu na dzień 31.12.2014r. (poz.1+2-3a)</t>
  </si>
  <si>
    <t>5. Planowane dochody budżetu gminy na 2014r.</t>
  </si>
  <si>
    <t xml:space="preserve">    stosunku doplanowanych dochodów gminy na 2014r. (poz.3/poz.5)</t>
  </si>
  <si>
    <t>Prognoza na rok 2015</t>
  </si>
  <si>
    <t>4. Prognozowana kwota długu na dzień 31.12.2015r. (poz.1+2-3a)</t>
  </si>
  <si>
    <t>5. Planowane dochody budżetu gminy na 2015r.</t>
  </si>
  <si>
    <t xml:space="preserve">    stosunku doplanowanych dochodów gminy na 2015r. (poz.3/poz.5)</t>
  </si>
  <si>
    <t xml:space="preserve">Gmina Kaźmierz nie wyemitowała papierów wartościowych, nie udzielała gwarancji i poręczeń, </t>
  </si>
  <si>
    <t>nie  przyjęła depozytów oraz informuje, iż nie posiada innych wymagalnych zobowiązań.</t>
  </si>
  <si>
    <t>DOCHODY GMINY KAŹMIERZ W 2006r.</t>
  </si>
  <si>
    <t xml:space="preserve">Plan dochodów budżetowych na 2006r.               </t>
  </si>
  <si>
    <t>Korekta 1</t>
  </si>
  <si>
    <t xml:space="preserve"> Udział gmin uczestników Dożynek Powiatowych 2006r i Starostwa Powiatowego</t>
  </si>
  <si>
    <t>Wpływy z tytułu pomocy finansowej udzielanej między jednostkami samorządu terytorialnego na dofinansowanie własnych zadań inwestycyjnych i zakupów inwestycyjnych.</t>
  </si>
  <si>
    <r>
      <t xml:space="preserve">Opłaty za grunty oddane w użytkowanie wieczyste </t>
    </r>
    <r>
      <rPr>
        <b/>
        <sz val="10"/>
        <rFont val="Times New Roman CE"/>
        <family val="0"/>
      </rPr>
      <t>21.473,00</t>
    </r>
    <r>
      <rPr>
        <sz val="10"/>
        <rFont val="Times New Roman CE"/>
        <family val="1"/>
      </rPr>
      <t xml:space="preserve"> i trwały zarząd </t>
    </r>
    <r>
      <rPr>
        <b/>
        <sz val="10"/>
        <rFont val="Times New Roman CE"/>
        <family val="0"/>
      </rPr>
      <t>17.320,00</t>
    </r>
  </si>
  <si>
    <r>
      <t xml:space="preserve">Za dzierżawę gruntów rolnych </t>
    </r>
    <r>
      <rPr>
        <b/>
        <sz val="10"/>
        <rFont val="Times New Roman CE"/>
        <family val="0"/>
      </rPr>
      <t>20.845,00</t>
    </r>
    <r>
      <rPr>
        <sz val="10"/>
        <rFont val="Times New Roman CE"/>
        <family val="1"/>
      </rPr>
      <t>,</t>
    </r>
    <r>
      <rPr>
        <sz val="10"/>
        <rFont val="Times New Roman CE"/>
        <family val="1"/>
      </rPr>
      <t xml:space="preserve"> gruntów pod garażem </t>
    </r>
    <r>
      <rPr>
        <b/>
        <sz val="10"/>
        <rFont val="Times New Roman CE"/>
        <family val="0"/>
      </rPr>
      <t>342,00</t>
    </r>
    <r>
      <rPr>
        <sz val="10"/>
        <rFont val="Times New Roman CE"/>
        <family val="1"/>
      </rPr>
      <t xml:space="preserve">, gruntów pod usługi </t>
    </r>
    <r>
      <rPr>
        <b/>
        <sz val="10"/>
        <rFont val="Times New Roman CE"/>
        <family val="0"/>
      </rPr>
      <t>2.788,00</t>
    </r>
    <r>
      <rPr>
        <sz val="10"/>
        <rFont val="Times New Roman CE"/>
        <family val="1"/>
      </rPr>
      <t xml:space="preserve">,  gruntów pod wieżą telefonii komórkowej </t>
    </r>
    <r>
      <rPr>
        <b/>
        <sz val="10"/>
        <rFont val="Times New Roman CE"/>
        <family val="0"/>
      </rPr>
      <t>36.000,00</t>
    </r>
    <r>
      <rPr>
        <sz val="10"/>
        <rFont val="Times New Roman CE"/>
        <family val="1"/>
      </rPr>
      <t xml:space="preserve">,  za najem lokali użytkowych </t>
    </r>
    <r>
      <rPr>
        <b/>
        <sz val="10"/>
        <rFont val="Times New Roman CE"/>
        <family val="0"/>
      </rPr>
      <t xml:space="preserve">19.150,00, </t>
    </r>
    <r>
      <rPr>
        <sz val="10"/>
        <rFont val="Times New Roman CE"/>
        <family val="0"/>
      </rPr>
      <t>za dzierżawy przydrożnych alei drzew owocowych</t>
    </r>
    <r>
      <rPr>
        <b/>
        <sz val="10"/>
        <rFont val="Times New Roman CE"/>
        <family val="0"/>
      </rPr>
      <t xml:space="preserve"> 200,00</t>
    </r>
  </si>
  <si>
    <t>Pismo Wojewody Wielkopolskiego z dnia 21.10.2005r., znak FB.I-3.3010-78/05</t>
  </si>
  <si>
    <t>5% kwoty zaplanowanej przez Wojewodę Wielkopolskiego (pismo Wojewody Wielkopolskiego z dnia 21.10.2005r., znak FB.I-3.3010-78/05)</t>
  </si>
  <si>
    <r>
      <t xml:space="preserve">Opłaty za druki, specyfikacje do przetargów </t>
    </r>
    <r>
      <rPr>
        <b/>
        <sz val="10"/>
        <rFont val="Times New Roman CE"/>
        <family val="0"/>
      </rPr>
      <t>20.400,00</t>
    </r>
    <r>
      <rPr>
        <sz val="10"/>
        <rFont val="Times New Roman CE"/>
        <family val="1"/>
      </rPr>
      <t xml:space="preserve">, refundacja programu Szwajcarski Zegarek </t>
    </r>
    <r>
      <rPr>
        <b/>
        <sz val="10"/>
        <rFont val="Times New Roman CE"/>
        <family val="0"/>
      </rPr>
      <t>24.600,00</t>
    </r>
  </si>
  <si>
    <t>Wybory Prezydenta RP</t>
  </si>
  <si>
    <t>Wybory do Sejmu i Senatu</t>
  </si>
  <si>
    <t>Przyjęto cenę GUS 1q żyta 27,88 zł/q (MP Nr 62, poz.867)</t>
  </si>
  <si>
    <t>Przyjęto cenę GUS 131,35 (MP Nr 62, poz.868)</t>
  </si>
  <si>
    <r>
      <t xml:space="preserve">Wpływy z opłaty planistycznej </t>
    </r>
    <r>
      <rPr>
        <b/>
        <sz val="10"/>
        <rFont val="Times New Roman CE"/>
        <family val="0"/>
      </rPr>
      <t>150.000,00</t>
    </r>
    <r>
      <rPr>
        <sz val="10"/>
        <rFont val="Times New Roman CE"/>
        <family val="1"/>
      </rPr>
      <t xml:space="preserve">, opłata adiacencka i podziałowa </t>
    </r>
    <r>
      <rPr>
        <b/>
        <sz val="10"/>
        <rFont val="Times New Roman CE"/>
        <family val="0"/>
      </rPr>
      <t>910.000,00</t>
    </r>
    <r>
      <rPr>
        <sz val="10"/>
        <rFont val="Times New Roman CE"/>
        <family val="1"/>
      </rPr>
      <t xml:space="preserve"> z opłat za wpis i zmianę wpisu do ewidencji działalności gospodarczej </t>
    </r>
    <r>
      <rPr>
        <b/>
        <sz val="10"/>
        <rFont val="Times New Roman CE"/>
        <family val="0"/>
      </rPr>
      <t xml:space="preserve">5.000,00, </t>
    </r>
    <r>
      <rPr>
        <sz val="10"/>
        <rFont val="Times New Roman CE"/>
        <family val="0"/>
      </rPr>
      <t>pozostałe opłaty</t>
    </r>
    <r>
      <rPr>
        <b/>
        <sz val="10"/>
        <rFont val="Times New Roman CE"/>
        <family val="0"/>
      </rPr>
      <t xml:space="preserve"> 58.300,00</t>
    </r>
  </si>
  <si>
    <t>Załącznik do pisma Ministra Finansów z dnia 11.10.2005r., znak ST3-4820-46/2005</t>
  </si>
  <si>
    <t>Część równoważąca subwencji ogólnej dla gmin</t>
  </si>
  <si>
    <t>Refundacja służby zastępczej</t>
  </si>
  <si>
    <t>Refundacja programu Szwajcarski Zegarek</t>
  </si>
  <si>
    <t>Edukacyjna opieka wychowawcza</t>
  </si>
  <si>
    <t>Pomoc materialna dla uczniów</t>
  </si>
  <si>
    <t>Środki na dofinasowanie własnych zadań bieżących gmin (związków gmin), powiatów,(związków powiatów), samorządów województw, pozyskane z innych źródeł</t>
  </si>
  <si>
    <t>Dotacje celowe otrzymane z budżetu państwa na zadania bieżące realizowane przez gminę na podstawie porozumień z organami administracji rządowej</t>
  </si>
  <si>
    <t>WYDATKI GMINY KAŹMIERZ W 2006r.</t>
  </si>
  <si>
    <t xml:space="preserve">Plan wydatków budżetowych na 2006r.  </t>
  </si>
  <si>
    <r>
      <t xml:space="preserve">Budowa sieci wodociągowych:Pólko </t>
    </r>
    <r>
      <rPr>
        <b/>
        <sz val="10"/>
        <rFont val="Times New Roman CE"/>
        <family val="0"/>
      </rPr>
      <t xml:space="preserve">15.250,00, </t>
    </r>
    <r>
      <rPr>
        <sz val="10"/>
        <rFont val="Times New Roman CE"/>
        <family val="1"/>
      </rPr>
      <t xml:space="preserve">Młodasko-Bytyń </t>
    </r>
    <r>
      <rPr>
        <b/>
        <sz val="10"/>
        <rFont val="Times New Roman CE"/>
        <family val="0"/>
      </rPr>
      <t>136.488,00</t>
    </r>
    <r>
      <rPr>
        <sz val="10"/>
        <rFont val="Times New Roman CE"/>
        <family val="1"/>
      </rPr>
      <t xml:space="preserve">, K-rz ul.Polna-Reja </t>
    </r>
    <r>
      <rPr>
        <b/>
        <sz val="10"/>
        <rFont val="Times New Roman CE"/>
        <family val="0"/>
      </rPr>
      <t>31.300,00</t>
    </r>
    <r>
      <rPr>
        <sz val="10"/>
        <rFont val="Times New Roman CE"/>
        <family val="1"/>
      </rPr>
      <t xml:space="preserve">, K-rz ul.Szkolna </t>
    </r>
    <r>
      <rPr>
        <b/>
        <sz val="10"/>
        <rFont val="Times New Roman CE"/>
        <family val="0"/>
      </rPr>
      <t>15.000,00</t>
    </r>
    <r>
      <rPr>
        <sz val="10"/>
        <rFont val="Times New Roman CE"/>
        <family val="1"/>
      </rPr>
      <t xml:space="preserve">, Radzyny </t>
    </r>
    <r>
      <rPr>
        <b/>
        <sz val="10"/>
        <rFont val="Times New Roman CE"/>
        <family val="0"/>
      </rPr>
      <t>25.000,00,</t>
    </r>
    <r>
      <rPr>
        <sz val="10"/>
        <rFont val="Times New Roman CE"/>
        <family val="1"/>
      </rPr>
      <t xml:space="preserve"> SUW Gaj Wielki </t>
    </r>
    <r>
      <rPr>
        <b/>
        <sz val="10"/>
        <rFont val="Times New Roman CE"/>
        <family val="0"/>
      </rPr>
      <t>10.000,00</t>
    </r>
  </si>
  <si>
    <t>Zakup drzewek, palików, środków ochrony roślin</t>
  </si>
  <si>
    <t>Drogi publiczne powiatowe</t>
  </si>
  <si>
    <t>Partycypacja w remontach dróg powiatowych Kaźmierz-Tarnowo Podgórne i Komorowo-Pólko-Sokolniki Wielkie</t>
  </si>
  <si>
    <t>Budowa dróg dojazdowych do gruntów rolnych oraz dróg gminnych</t>
  </si>
  <si>
    <t>Dotacje celowe otrzymane z budżetu na finansowanie lub dofinansowanie kosztów realizacji inwestycji i zakupów inwestycyjnych zakładów budżetowych</t>
  </si>
  <si>
    <t>Zakup tabliczek z nazwami ulic i numerami domów</t>
  </si>
  <si>
    <r>
      <t xml:space="preserve">Wykup działek </t>
    </r>
    <r>
      <rPr>
        <b/>
        <sz val="10"/>
        <rFont val="Times New Roman CE"/>
        <family val="0"/>
      </rPr>
      <t>30.000,00</t>
    </r>
    <r>
      <rPr>
        <sz val="10"/>
        <rFont val="Times New Roman CE"/>
        <family val="1"/>
      </rPr>
      <t xml:space="preserve"> i dróg </t>
    </r>
    <r>
      <rPr>
        <b/>
        <sz val="10"/>
        <rFont val="Times New Roman CE"/>
        <family val="0"/>
      </rPr>
      <t>930.000,00</t>
    </r>
  </si>
  <si>
    <t>Plan zagospodarowania przestrzennego</t>
  </si>
  <si>
    <t xml:space="preserve">Diety radnych </t>
  </si>
  <si>
    <t>Kontakty partnerskie z Bystrzycą Kłodzką, Ujściem i Litwą, art.związane z obsługą Biura Rady, oraz zakup mebli do sali sesyjnej i prenumerata Współnoty</t>
  </si>
  <si>
    <t xml:space="preserve">Wynagrodzenia pracowników UG i bezrobotnych, program Szwajcarski Zegarek, nagrody jubileuszowe, odprawy emerytalne </t>
  </si>
  <si>
    <t xml:space="preserve">Koszty usług telekomunikacyjnych, pocztowych, bankowych, ochrona obiektu, szkolenia pracowników </t>
  </si>
  <si>
    <r>
      <t xml:space="preserve">Delegacje </t>
    </r>
    <r>
      <rPr>
        <b/>
        <sz val="10"/>
        <rFont val="Times New Roman CE"/>
        <family val="0"/>
      </rPr>
      <t>8.000,00,</t>
    </r>
    <r>
      <rPr>
        <sz val="10"/>
        <rFont val="Times New Roman CE"/>
        <family val="1"/>
      </rPr>
      <t xml:space="preserve"> ryczałty samochodowe </t>
    </r>
    <r>
      <rPr>
        <b/>
        <sz val="10"/>
        <rFont val="Times New Roman CE"/>
        <family val="0"/>
      </rPr>
      <t>22.000,00</t>
    </r>
  </si>
  <si>
    <r>
      <t xml:space="preserve">Składki WOKIS </t>
    </r>
    <r>
      <rPr>
        <b/>
        <sz val="10"/>
        <rFont val="Times New Roman CE"/>
        <family val="0"/>
      </rPr>
      <t>5.700,00</t>
    </r>
    <r>
      <rPr>
        <sz val="10"/>
        <rFont val="Times New Roman CE"/>
        <family val="1"/>
      </rPr>
      <t xml:space="preserve">, ZGWRP </t>
    </r>
    <r>
      <rPr>
        <b/>
        <sz val="10"/>
        <rFont val="Times New Roman CE"/>
        <family val="0"/>
      </rPr>
      <t>1.800,00</t>
    </r>
    <r>
      <rPr>
        <sz val="10"/>
        <rFont val="Times New Roman CE"/>
        <family val="1"/>
      </rPr>
      <t xml:space="preserve">, SGiPW </t>
    </r>
    <r>
      <rPr>
        <b/>
        <sz val="10"/>
        <rFont val="Times New Roman CE"/>
        <family val="0"/>
      </rPr>
      <t>1.800,00</t>
    </r>
    <r>
      <rPr>
        <sz val="10"/>
        <rFont val="Times New Roman CE"/>
        <family val="1"/>
      </rPr>
      <t xml:space="preserve">, ubezpieczenie sprzętu i budynków </t>
    </r>
    <r>
      <rPr>
        <b/>
        <sz val="10"/>
        <rFont val="Times New Roman CE"/>
        <family val="0"/>
      </rPr>
      <t>6.900,00</t>
    </r>
    <r>
      <rPr>
        <sz val="10"/>
        <rFont val="Times New Roman CE"/>
        <family val="1"/>
      </rPr>
      <t xml:space="preserve">, składki z tyt.przystąpienia do Stowarzyszenia Ekologocznych Gmin ZACHÓD </t>
    </r>
    <r>
      <rPr>
        <b/>
        <sz val="10"/>
        <rFont val="Times New Roman CE"/>
        <family val="0"/>
      </rPr>
      <t>1.000,00</t>
    </r>
  </si>
  <si>
    <t>Zał.Nr 1 do Uchwały Nr XLII/254/05 Rady Gminy Kaźmierz z dnia 21.12.2005r</t>
  </si>
  <si>
    <t>%</t>
  </si>
  <si>
    <t>Zatwierdzone stawki podatkowe Sesja 29.11.2005r.</t>
  </si>
  <si>
    <r>
      <t xml:space="preserve">Raty za wykup mieszkań i budynków </t>
    </r>
    <r>
      <rPr>
        <b/>
        <sz val="10"/>
        <rFont val="Times New Roman CE"/>
        <family val="0"/>
      </rPr>
      <t>11.142,00</t>
    </r>
    <r>
      <rPr>
        <sz val="10"/>
        <rFont val="Times New Roman CE"/>
        <family val="1"/>
      </rPr>
      <t xml:space="preserve"> , sprzedaż nieruchomości </t>
    </r>
    <r>
      <rPr>
        <b/>
        <sz val="10"/>
        <rFont val="Times New Roman CE"/>
        <family val="0"/>
      </rPr>
      <t>713.000,00</t>
    </r>
    <r>
      <rPr>
        <sz val="10"/>
        <rFont val="Times New Roman CE"/>
        <family val="1"/>
      </rPr>
      <t xml:space="preserve"> (dz.483/17, o pow.1,0492 ha w Kaźmierzu bez przeznaczenia 80.000,00, dz167-201 </t>
    </r>
    <r>
      <rPr>
        <b/>
        <sz val="10"/>
        <rFont val="Times New Roman CE"/>
        <family val="0"/>
      </rPr>
      <t>33 działki</t>
    </r>
    <r>
      <rPr>
        <sz val="10"/>
        <rFont val="Times New Roman CE"/>
        <family val="1"/>
      </rPr>
      <t>, o pow.10,19 ha w Kopaninie pod budownictwo jednorodzinne 718.000,00, dz.117/65, o pow.0,0177 w Radzynach pod budownictwo jednorodzinne 2.000,00)</t>
    </r>
  </si>
  <si>
    <t>Dotacja na prowadzenie stałego rejestru wyborców w 2006r. Pismo Krajowego Biura Wyborczego Delegatura w Pile z dnia 12.12.2005r, znak DPL 0301-5/06/05</t>
  </si>
  <si>
    <t>Uchwała nr XLI/250/05 Rady Gminy Kaźmierz z dnia 29 listopada 2005r.</t>
  </si>
  <si>
    <t>Uchwała nr XLI/248/05 Rady Gminy Kaźmierz z dnia 29 listopada 2005r.</t>
  </si>
  <si>
    <t>Uchwała nr XLI/249/05 Rady Gminy Kaźmierz z dnia 29 listopada 2005r.</t>
  </si>
  <si>
    <t>Uchwała nr XLI/244/05 Rady Gminy Kaźmierz z dnia 29 listopada 2005r.</t>
  </si>
  <si>
    <t>Zał.Nr 2 do Uchwały Nr XLII/254/05 Rady Gminy Kaźmierz z dnia 21.12.2005r</t>
  </si>
  <si>
    <t>Plan na 2005r.</t>
  </si>
  <si>
    <t>Zmiany Rady Gminy Kaźmierz</t>
  </si>
  <si>
    <r>
      <t xml:space="preserve">Organizacja Dożynek Gminnych 2006r. </t>
    </r>
    <r>
      <rPr>
        <b/>
        <sz val="10"/>
        <rFont val="Times New Roman CE"/>
        <family val="0"/>
      </rPr>
      <t>15.000,00</t>
    </r>
    <r>
      <rPr>
        <sz val="10"/>
        <rFont val="Times New Roman CE"/>
        <family val="1"/>
      </rPr>
      <t xml:space="preserve">, konkurs Piękna Wieś </t>
    </r>
    <r>
      <rPr>
        <b/>
        <sz val="10"/>
        <rFont val="Times New Roman CE"/>
        <family val="0"/>
      </rPr>
      <t>3.000,00</t>
    </r>
  </si>
  <si>
    <r>
      <t>Zakup 3 zestawów komputerowych ATX</t>
    </r>
    <r>
      <rPr>
        <sz val="10"/>
        <color indexed="10"/>
        <rFont val="Times New Roman CE"/>
        <family val="0"/>
      </rPr>
      <t xml:space="preserve"> </t>
    </r>
    <r>
      <rPr>
        <b/>
        <sz val="10"/>
        <rFont val="Times New Roman CE"/>
        <family val="0"/>
      </rPr>
      <t>12.800,00</t>
    </r>
    <r>
      <rPr>
        <sz val="10"/>
        <rFont val="Times New Roman CE"/>
        <family val="1"/>
      </rPr>
      <t xml:space="preserve">,  duplex drukarki laserowej LJ 5100PCL 6 </t>
    </r>
    <r>
      <rPr>
        <b/>
        <sz val="10"/>
        <rFont val="Times New Roman CE"/>
        <family val="0"/>
      </rPr>
      <t>2.600,00</t>
    </r>
  </si>
  <si>
    <t>Ustawa o finansach publicznych Art.116 ust.4 rezerwa ogólna nie może być wyższa niż 1% wydatków budżetu</t>
  </si>
  <si>
    <r>
      <t xml:space="preserve">1% planowanych rocznych środków na wynagrodzenia nauczycieli art.70a ustawy Karta Nauczyciela (jako podstawę przyjęto sumę §4010 w działach 80101,80103, 80104, 80110 </t>
    </r>
    <r>
      <rPr>
        <b/>
        <sz val="10"/>
        <rFont val="Times New Roman CE"/>
        <family val="0"/>
      </rPr>
      <t>pomniejszone o wynagrodzenia obsługi</t>
    </r>
    <r>
      <rPr>
        <sz val="10"/>
        <rFont val="Times New Roman CE"/>
        <family val="1"/>
      </rPr>
      <t>)</t>
    </r>
  </si>
  <si>
    <r>
      <t xml:space="preserve">WUW </t>
    </r>
    <r>
      <rPr>
        <b/>
        <sz val="10"/>
        <rFont val="Times New Roman CE"/>
        <family val="1"/>
      </rPr>
      <t>64.300,00</t>
    </r>
    <r>
      <rPr>
        <sz val="10"/>
        <rFont val="Times New Roman CE"/>
        <family val="1"/>
      </rPr>
      <t xml:space="preserve">, UG </t>
    </r>
    <r>
      <rPr>
        <b/>
        <sz val="10"/>
        <rFont val="Times New Roman CE"/>
        <family val="1"/>
      </rPr>
      <t>323.300,00</t>
    </r>
  </si>
  <si>
    <t>Pomoc materialna dla uczniów w ramach narodowego Funduszu Stypendialnego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</si>
</sst>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color indexed="12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sz val="10"/>
      <color indexed="48"/>
      <name val="Times New Roman CE"/>
      <family val="1"/>
    </font>
    <font>
      <b/>
      <sz val="10"/>
      <color indexed="48"/>
      <name val="Times New Roman"/>
      <family val="1"/>
    </font>
    <font>
      <b/>
      <sz val="12"/>
      <color indexed="48"/>
      <name val="Times New Roman CE"/>
      <family val="1"/>
    </font>
    <font>
      <b/>
      <sz val="10"/>
      <color indexed="48"/>
      <name val="Times New Roman CE"/>
      <family val="1"/>
    </font>
    <font>
      <sz val="16"/>
      <color indexed="48"/>
      <name val="Times New Roman CE"/>
      <family val="1"/>
    </font>
    <font>
      <b/>
      <sz val="10"/>
      <color indexed="10"/>
      <name val="Arial CE"/>
      <family val="2"/>
    </font>
    <font>
      <b/>
      <sz val="14"/>
      <color indexed="10"/>
      <name val="Arial CE"/>
      <family val="0"/>
    </font>
    <font>
      <sz val="11"/>
      <name val="Times New Roman CE"/>
      <family val="1"/>
    </font>
    <font>
      <sz val="8"/>
      <name val="Times New Roman CE"/>
      <family val="1"/>
    </font>
    <font>
      <sz val="10"/>
      <name val="Arial CE"/>
      <family val="0"/>
    </font>
    <font>
      <b/>
      <sz val="12"/>
      <color indexed="4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2"/>
      <color indexed="10"/>
      <name val="Times New Roman CE"/>
      <family val="1"/>
    </font>
    <font>
      <b/>
      <sz val="12"/>
      <color indexed="12"/>
      <name val="Times New Roman CE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 CE"/>
      <family val="1"/>
    </font>
    <font>
      <b/>
      <sz val="16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1" fillId="3" borderId="3" xfId="0" applyFont="1" applyFill="1" applyBorder="1" applyAlignment="1" quotePrefix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4" fontId="1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2" fillId="0" borderId="3" xfId="0" applyNumberFormat="1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Alignment="1" quotePrefix="1">
      <alignment horizontal="right" vertical="center" wrapText="1"/>
    </xf>
    <xf numFmtId="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/>
    </xf>
    <xf numFmtId="0" fontId="1" fillId="5" borderId="7" xfId="0" applyFont="1" applyFill="1" applyBorder="1" applyAlignment="1" quotePrefix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4" fontId="1" fillId="5" borderId="3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vertical="center" wrapText="1"/>
    </xf>
    <xf numFmtId="4" fontId="2" fillId="0" borderId="9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8" xfId="0" applyNumberFormat="1" applyFont="1" applyFill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4" fontId="2" fillId="5" borderId="8" xfId="0" applyNumberFormat="1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wrapText="1"/>
    </xf>
    <xf numFmtId="0" fontId="2" fillId="0" borderId="8" xfId="0" applyFont="1" applyBorder="1" applyAlignment="1">
      <alignment vertical="center" wrapText="1"/>
    </xf>
    <xf numFmtId="4" fontId="2" fillId="0" borderId="8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4" fontId="2" fillId="0" borderId="1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left" vertical="center" wrapText="1"/>
    </xf>
    <xf numFmtId="4" fontId="1" fillId="6" borderId="1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vertical="center" wrapText="1"/>
    </xf>
    <xf numFmtId="4" fontId="2" fillId="0" borderId="21" xfId="0" applyNumberFormat="1" applyFont="1" applyBorder="1" applyAlignment="1">
      <alignment horizontal="right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4" fontId="2" fillId="5" borderId="3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 wrapText="1"/>
    </xf>
    <xf numFmtId="4" fontId="1" fillId="5" borderId="3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4" fontId="11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4" fontId="1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/>
    </xf>
    <xf numFmtId="0" fontId="0" fillId="0" borderId="0" xfId="0" applyAlignment="1">
      <alignment vertical="center" wrapText="1"/>
    </xf>
    <xf numFmtId="0" fontId="16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4" fontId="1" fillId="3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" fontId="1" fillId="0" borderId="3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vertical="center" wrapText="1"/>
    </xf>
    <xf numFmtId="4" fontId="5" fillId="0" borderId="3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2" fillId="0" borderId="13" xfId="0" applyNumberFormat="1" applyFont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 quotePrefix="1">
      <alignment horizontal="right"/>
    </xf>
    <xf numFmtId="4" fontId="10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 quotePrefix="1">
      <alignment/>
    </xf>
    <xf numFmtId="10" fontId="18" fillId="0" borderId="0" xfId="0" applyNumberFormat="1" applyFont="1" applyAlignment="1">
      <alignment/>
    </xf>
    <xf numFmtId="0" fontId="5" fillId="6" borderId="10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vertical="center" wrapText="1"/>
    </xf>
    <xf numFmtId="0" fontId="1" fillId="3" borderId="7" xfId="0" applyFont="1" applyFill="1" applyBorder="1" applyAlignment="1" quotePrefix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8" fillId="0" borderId="3" xfId="0" applyFont="1" applyBorder="1" applyAlignment="1" quotePrefix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/>
    </xf>
    <xf numFmtId="4" fontId="2" fillId="0" borderId="3" xfId="0" applyNumberFormat="1" applyFont="1" applyBorder="1" applyAlignment="1">
      <alignment horizontal="center" vertical="center" wrapText="1"/>
    </xf>
    <xf numFmtId="4" fontId="2" fillId="6" borderId="25" xfId="0" applyNumberFormat="1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4" borderId="10" xfId="0" applyFont="1" applyFill="1" applyBorder="1" applyAlignment="1" quotePrefix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4" fontId="2" fillId="4" borderId="23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0" fontId="2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4" fontId="1" fillId="0" borderId="3" xfId="0" applyNumberFormat="1" applyFont="1" applyBorder="1" applyAlignment="1">
      <alignment vertical="center"/>
    </xf>
    <xf numFmtId="0" fontId="2" fillId="4" borderId="26" xfId="0" applyFont="1" applyFill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4" fontId="8" fillId="0" borderId="0" xfId="0" applyNumberFormat="1" applyFont="1" applyAlignment="1">
      <alignment/>
    </xf>
    <xf numFmtId="0" fontId="8" fillId="0" borderId="27" xfId="0" applyFont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2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center" vertical="center" wrapText="1"/>
    </xf>
    <xf numFmtId="0" fontId="8" fillId="8" borderId="34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9" borderId="34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8" borderId="36" xfId="0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 vertical="center" wrapText="1"/>
    </xf>
    <xf numFmtId="0" fontId="8" fillId="9" borderId="36" xfId="0" applyFont="1" applyFill="1" applyBorder="1" applyAlignment="1">
      <alignment horizontal="center" vertical="center" wrapText="1"/>
    </xf>
    <xf numFmtId="0" fontId="8" fillId="7" borderId="36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4" fontId="9" fillId="0" borderId="34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" fontId="9" fillId="0" borderId="34" xfId="0" applyNumberFormat="1" applyFont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9" fillId="0" borderId="22" xfId="0" applyNumberFormat="1" applyFont="1" applyBorder="1" applyAlignment="1">
      <alignment vertical="center" wrapText="1"/>
    </xf>
    <xf numFmtId="4" fontId="9" fillId="8" borderId="3" xfId="0" applyNumberFormat="1" applyFont="1" applyFill="1" applyBorder="1" applyAlignment="1">
      <alignment vertical="center" wrapText="1"/>
    </xf>
    <xf numFmtId="4" fontId="9" fillId="3" borderId="3" xfId="0" applyNumberFormat="1" applyFont="1" applyFill="1" applyBorder="1" applyAlignment="1">
      <alignment vertical="center" wrapText="1"/>
    </xf>
    <xf numFmtId="4" fontId="9" fillId="5" borderId="3" xfId="0" applyNumberFormat="1" applyFont="1" applyFill="1" applyBorder="1" applyAlignment="1">
      <alignment vertical="center" wrapText="1"/>
    </xf>
    <xf numFmtId="4" fontId="9" fillId="9" borderId="3" xfId="0" applyNumberFormat="1" applyFont="1" applyFill="1" applyBorder="1" applyAlignment="1">
      <alignment vertical="center" wrapText="1"/>
    </xf>
    <xf numFmtId="4" fontId="9" fillId="7" borderId="3" xfId="0" applyNumberFormat="1" applyFont="1" applyFill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4" fontId="9" fillId="8" borderId="3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8" fillId="0" borderId="34" xfId="0" applyFont="1" applyFill="1" applyBorder="1" applyAlignment="1">
      <alignment vertical="center" wrapText="1"/>
    </xf>
    <xf numFmtId="4" fontId="9" fillId="0" borderId="34" xfId="0" applyNumberFormat="1" applyFont="1" applyFill="1" applyBorder="1" applyAlignment="1">
      <alignment horizontal="center" vertical="center" wrapText="1"/>
    </xf>
    <xf numFmtId="4" fontId="9" fillId="0" borderId="34" xfId="0" applyNumberFormat="1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23" xfId="0" applyFont="1" applyBorder="1" applyAlignment="1">
      <alignment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26" fillId="6" borderId="21" xfId="0" applyFont="1" applyFill="1" applyBorder="1" applyAlignment="1">
      <alignment vertical="top" wrapText="1"/>
    </xf>
    <xf numFmtId="4" fontId="8" fillId="6" borderId="34" xfId="0" applyNumberFormat="1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4" fontId="22" fillId="6" borderId="34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39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left" vertical="center" wrapText="1"/>
    </xf>
    <xf numFmtId="4" fontId="2" fillId="0" borderId="39" xfId="0" applyNumberFormat="1" applyFont="1" applyFill="1" applyBorder="1" applyAlignment="1">
      <alignment horizontal="left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2" fillId="9" borderId="0" xfId="0" applyFont="1" applyFill="1" applyAlignment="1">
      <alignment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" fontId="2" fillId="0" borderId="9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/>
    </xf>
    <xf numFmtId="4" fontId="19" fillId="4" borderId="3" xfId="0" applyNumberFormat="1" applyFont="1" applyFill="1" applyBorder="1" applyAlignment="1">
      <alignment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19" fillId="4" borderId="10" xfId="0" applyNumberFormat="1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4" fontId="28" fillId="0" borderId="1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24" fillId="0" borderId="0" xfId="0" applyFont="1" applyAlignment="1">
      <alignment vertical="center" wrapText="1"/>
    </xf>
    <xf numFmtId="0" fontId="2" fillId="2" borderId="1" xfId="0" applyFont="1" applyFill="1" applyBorder="1" applyAlignment="1">
      <alignment/>
    </xf>
    <xf numFmtId="0" fontId="31" fillId="0" borderId="0" xfId="0" applyFont="1" applyAlignment="1">
      <alignment vertical="center" wrapText="1"/>
    </xf>
    <xf numFmtId="4" fontId="3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4" fontId="7" fillId="5" borderId="3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 wrapText="1"/>
    </xf>
    <xf numFmtId="4" fontId="7" fillId="5" borderId="3" xfId="0" applyNumberFormat="1" applyFont="1" applyFill="1" applyBorder="1" applyAlignment="1">
      <alignment horizontal="center" vertical="center" wrapText="1"/>
    </xf>
    <xf numFmtId="4" fontId="7" fillId="6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9" fillId="8" borderId="34" xfId="0" applyNumberFormat="1" applyFont="1" applyFill="1" applyBorder="1" applyAlignment="1">
      <alignment vertical="center" wrapText="1"/>
    </xf>
    <xf numFmtId="4" fontId="9" fillId="3" borderId="34" xfId="0" applyNumberFormat="1" applyFont="1" applyFill="1" applyBorder="1" applyAlignment="1">
      <alignment vertical="center" wrapText="1"/>
    </xf>
    <xf numFmtId="4" fontId="9" fillId="5" borderId="34" xfId="0" applyNumberFormat="1" applyFont="1" applyFill="1" applyBorder="1" applyAlignment="1">
      <alignment vertical="center" wrapText="1"/>
    </xf>
    <xf numFmtId="4" fontId="9" fillId="9" borderId="34" xfId="0" applyNumberFormat="1" applyFont="1" applyFill="1" applyBorder="1" applyAlignment="1">
      <alignment vertical="center" wrapText="1"/>
    </xf>
    <xf numFmtId="4" fontId="9" fillId="7" borderId="34" xfId="0" applyNumberFormat="1" applyFont="1" applyFill="1" applyBorder="1" applyAlignment="1">
      <alignment vertical="center" wrapText="1"/>
    </xf>
    <xf numFmtId="0" fontId="31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31" fillId="0" borderId="0" xfId="0" applyNumberFormat="1" applyFont="1" applyAlignment="1">
      <alignment/>
    </xf>
    <xf numFmtId="0" fontId="31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2" fillId="0" borderId="23" xfId="0" applyNumberFormat="1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left" vertical="center" wrapText="1"/>
    </xf>
    <xf numFmtId="4" fontId="2" fillId="0" borderId="39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4" fontId="1" fillId="5" borderId="11" xfId="0" applyNumberFormat="1" applyFont="1" applyFill="1" applyBorder="1" applyAlignment="1">
      <alignment horizontal="center" vertical="center" wrapText="1"/>
    </xf>
    <xf numFmtId="4" fontId="1" fillId="5" borderId="2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5" fillId="0" borderId="2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" fontId="2" fillId="3" borderId="23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19" fillId="0" borderId="23" xfId="0" applyNumberFormat="1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horizontal="left" vertical="center" wrapText="1"/>
    </xf>
    <xf numFmtId="4" fontId="19" fillId="0" borderId="21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3" borderId="2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23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21" xfId="0" applyFont="1" applyBorder="1" applyAlignment="1" quotePrefix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31" fillId="0" borderId="0" xfId="0" applyFont="1" applyAlignment="1">
      <alignment horizontal="left" vertical="center" wrapText="1"/>
    </xf>
    <xf numFmtId="4" fontId="31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4" fontId="30" fillId="0" borderId="0" xfId="0" applyNumberFormat="1" applyFont="1" applyAlignment="1">
      <alignment horizontal="right" vertical="center"/>
    </xf>
    <xf numFmtId="4" fontId="2" fillId="0" borderId="23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43" xfId="0" applyFont="1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8" fillId="8" borderId="45" xfId="0" applyFont="1" applyFill="1" applyBorder="1" applyAlignment="1">
      <alignment horizontal="center" vertical="center" wrapText="1"/>
    </xf>
    <xf numFmtId="0" fontId="8" fillId="5" borderId="46" xfId="0" applyFont="1" applyFill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9" borderId="46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8" fillId="9" borderId="45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9" borderId="47" xfId="0" applyFont="1" applyFill="1" applyBorder="1" applyAlignment="1">
      <alignment horizontal="center" vertical="center"/>
    </xf>
    <xf numFmtId="0" fontId="8" fillId="9" borderId="48" xfId="0" applyFont="1" applyFill="1" applyBorder="1" applyAlignment="1">
      <alignment horizontal="center" vertical="center"/>
    </xf>
    <xf numFmtId="0" fontId="8" fillId="9" borderId="49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5" borderId="50" xfId="0" applyFont="1" applyFill="1" applyBorder="1" applyAlignment="1">
      <alignment horizontal="center" vertical="center" wrapText="1"/>
    </xf>
    <xf numFmtId="0" fontId="8" fillId="5" borderId="51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8" fillId="8" borderId="52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53" xfId="0" applyFont="1" applyFill="1" applyBorder="1" applyAlignment="1">
      <alignment horizontal="center" vertical="center" wrapText="1"/>
    </xf>
    <xf numFmtId="0" fontId="8" fillId="8" borderId="33" xfId="0" applyFont="1" applyFill="1" applyBorder="1" applyAlignment="1">
      <alignment horizontal="center" vertical="center" wrapText="1"/>
    </xf>
    <xf numFmtId="0" fontId="8" fillId="9" borderId="52" xfId="0" applyFont="1" applyFill="1" applyBorder="1" applyAlignment="1">
      <alignment horizontal="center" vertical="center" wrapText="1"/>
    </xf>
    <xf numFmtId="0" fontId="8" fillId="9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gosia\Moje%20dokumenty\Budzet%20Radni%202006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 weksli"/>
      <sheetName val="Inwestycje 2005r."/>
      <sheetName val="DOTACJE"/>
      <sheetName val="KREDYTY"/>
      <sheetName val="Harmonogram spłat"/>
      <sheetName val="Dochody zał.Nr 1"/>
      <sheetName val="Wydatki zał.Nr 2"/>
      <sheetName val="Deficyt"/>
      <sheetName val="Dotacje Zał.Nr 3"/>
      <sheetName val="PRZROZ zał.Nr4"/>
      <sheetName val="Prognoza długu do zał.Nr4"/>
      <sheetName val="DO zał.Nr5"/>
      <sheetName val="GFOŚ zał.Nr6"/>
      <sheetName val="ZUK plan zał.Nr 7"/>
      <sheetName val="Inwest.2006 zał.nr 8"/>
      <sheetName val="WPI zał.nr 9"/>
      <sheetName val="Plan finansowy"/>
      <sheetName val="Środki specjalne"/>
      <sheetName val="WPI zał.nr 8 "/>
      <sheetName val="porównanie"/>
      <sheetName val="ZUK zmiany"/>
      <sheetName val="zestawienie"/>
      <sheetName val="Arkusz1"/>
      <sheetName val="Arkusz2"/>
      <sheetName val="STYCZEŃ"/>
      <sheetName val="LUTY"/>
      <sheetName val="MARZEC"/>
      <sheetName val="KWIECIEŃ"/>
      <sheetName val="MAJ"/>
      <sheetName val="CZERWIEC"/>
      <sheetName val="LIPIEC"/>
      <sheetName val="SIERPIEŃ"/>
      <sheetName val="WRZESIEŃ"/>
    </sheetNames>
    <sheetDataSet>
      <sheetData sheetId="5">
        <row r="127">
          <cell r="D127" t="str">
            <v>OGÓŁEM</v>
          </cell>
          <cell r="E127">
            <v>17007496</v>
          </cell>
        </row>
      </sheetData>
      <sheetData sheetId="6">
        <row r="277">
          <cell r="H277">
            <v>20461034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="150" zoomScaleNormal="150" workbookViewId="0" topLeftCell="B1">
      <selection activeCell="D11" sqref="D11"/>
    </sheetView>
  </sheetViews>
  <sheetFormatPr defaultColWidth="9.140625" defaultRowHeight="12.75"/>
  <cols>
    <col min="1" max="1" width="4.140625" style="3" customWidth="1"/>
    <col min="2" max="2" width="6.57421875" style="3" customWidth="1"/>
    <col min="3" max="3" width="5.7109375" style="3" customWidth="1"/>
    <col min="4" max="4" width="35.8515625" style="3" customWidth="1"/>
    <col min="5" max="5" width="21.00390625" style="8" customWidth="1"/>
    <col min="6" max="6" width="36.7109375" style="3" customWidth="1"/>
    <col min="7" max="16384" width="9.140625" style="3" customWidth="1"/>
  </cols>
  <sheetData>
    <row r="1" spans="1:6" ht="25.5">
      <c r="A1" s="1" t="s">
        <v>513</v>
      </c>
      <c r="B1" s="2"/>
      <c r="C1" s="2"/>
      <c r="E1" s="4"/>
      <c r="F1" s="49" t="s">
        <v>553</v>
      </c>
    </row>
    <row r="2" spans="1:3" ht="13.5" thickBot="1">
      <c r="A2" s="7"/>
      <c r="B2" s="2"/>
      <c r="C2" s="2"/>
    </row>
    <row r="3" spans="1:6" s="10" customFormat="1" ht="30" customHeight="1">
      <c r="A3" s="359" t="s">
        <v>132</v>
      </c>
      <c r="B3" s="359" t="s">
        <v>133</v>
      </c>
      <c r="C3" s="359" t="s">
        <v>134</v>
      </c>
      <c r="D3" s="359" t="s">
        <v>135</v>
      </c>
      <c r="E3" s="359" t="s">
        <v>514</v>
      </c>
      <c r="F3" s="359"/>
    </row>
    <row r="4" spans="1:6" s="11" customFormat="1" ht="16.5" thickBot="1">
      <c r="A4" s="360"/>
      <c r="B4" s="360"/>
      <c r="C4" s="360"/>
      <c r="D4" s="360"/>
      <c r="E4" s="360"/>
      <c r="F4" s="360"/>
    </row>
    <row r="5" spans="1:6" s="196" customFormat="1" ht="16.5" customHeight="1">
      <c r="A5" s="194"/>
      <c r="B5" s="194"/>
      <c r="C5" s="194"/>
      <c r="D5" s="194"/>
      <c r="E5" s="195"/>
      <c r="F5" s="194"/>
    </row>
    <row r="6" spans="1:6" s="313" customFormat="1" ht="38.25" hidden="1">
      <c r="A6" s="311"/>
      <c r="B6" s="311"/>
      <c r="C6" s="311"/>
      <c r="D6" s="311"/>
      <c r="E6" s="311" t="s">
        <v>555</v>
      </c>
      <c r="F6" s="312"/>
    </row>
    <row r="7" spans="1:6" s="6" customFormat="1" ht="12.75" hidden="1">
      <c r="A7" s="197" t="s">
        <v>260</v>
      </c>
      <c r="B7" s="198"/>
      <c r="C7" s="198"/>
      <c r="D7" s="199" t="s">
        <v>261</v>
      </c>
      <c r="E7" s="200">
        <f>E8</f>
        <v>0</v>
      </c>
      <c r="F7" s="201"/>
    </row>
    <row r="8" spans="1:6" s="6" customFormat="1" ht="12.75" hidden="1">
      <c r="A8" s="20"/>
      <c r="B8" s="202" t="s">
        <v>279</v>
      </c>
      <c r="C8" s="36"/>
      <c r="D8" s="37" t="s">
        <v>270</v>
      </c>
      <c r="E8" s="203">
        <f>E9</f>
        <v>0</v>
      </c>
      <c r="F8" s="355" t="s">
        <v>516</v>
      </c>
    </row>
    <row r="9" spans="1:6" s="6" customFormat="1" ht="12.75" hidden="1">
      <c r="A9" s="204"/>
      <c r="B9" s="27"/>
      <c r="C9" s="28" t="s">
        <v>179</v>
      </c>
      <c r="D9" s="29" t="s">
        <v>180</v>
      </c>
      <c r="E9" s="205"/>
      <c r="F9" s="356"/>
    </row>
    <row r="10" spans="1:6" s="19" customFormat="1" ht="12.75">
      <c r="A10" s="14" t="s">
        <v>149</v>
      </c>
      <c r="B10" s="15"/>
      <c r="C10" s="15"/>
      <c r="D10" s="16" t="s">
        <v>150</v>
      </c>
      <c r="E10" s="17">
        <f>SUM(E11)</f>
        <v>4500</v>
      </c>
      <c r="F10" s="18"/>
    </row>
    <row r="11" spans="1:6" s="19" customFormat="1" ht="12.75">
      <c r="A11" s="20"/>
      <c r="B11" s="21" t="s">
        <v>151</v>
      </c>
      <c r="C11" s="20"/>
      <c r="D11" s="22" t="s">
        <v>152</v>
      </c>
      <c r="E11" s="23">
        <f>SUM(E12)</f>
        <v>4500</v>
      </c>
      <c r="F11" s="24"/>
    </row>
    <row r="12" spans="1:6" s="19" customFormat="1" ht="76.5">
      <c r="A12" s="20"/>
      <c r="B12" s="27"/>
      <c r="C12" s="28" t="s">
        <v>153</v>
      </c>
      <c r="D12" s="29" t="s">
        <v>154</v>
      </c>
      <c r="E12" s="30">
        <v>4500</v>
      </c>
      <c r="F12" s="31" t="s">
        <v>155</v>
      </c>
    </row>
    <row r="13" spans="1:6" s="19" customFormat="1" ht="12.75" customHeight="1" hidden="1">
      <c r="A13" s="34">
        <v>600</v>
      </c>
      <c r="B13" s="34"/>
      <c r="C13" s="34"/>
      <c r="D13" s="35" t="s">
        <v>159</v>
      </c>
      <c r="E13" s="17">
        <f>E14</f>
        <v>0</v>
      </c>
      <c r="F13" s="18"/>
    </row>
    <row r="14" spans="1:6" s="19" customFormat="1" ht="12.75" customHeight="1" hidden="1">
      <c r="A14" s="36"/>
      <c r="B14" s="36">
        <v>60016</v>
      </c>
      <c r="C14" s="36"/>
      <c r="D14" s="37" t="s">
        <v>160</v>
      </c>
      <c r="E14" s="23">
        <f>E15</f>
        <v>0</v>
      </c>
      <c r="F14" s="24"/>
    </row>
    <row r="15" spans="1:6" s="19" customFormat="1" ht="38.25" customHeight="1" hidden="1">
      <c r="A15" s="36"/>
      <c r="B15" s="36"/>
      <c r="C15" s="38">
        <v>6260</v>
      </c>
      <c r="D15" s="39" t="s">
        <v>161</v>
      </c>
      <c r="E15" s="30"/>
      <c r="F15" s="31" t="s">
        <v>162</v>
      </c>
    </row>
    <row r="16" spans="1:6" s="19" customFormat="1" ht="63.75" customHeight="1" hidden="1">
      <c r="A16" s="36"/>
      <c r="B16" s="36"/>
      <c r="C16" s="38">
        <v>6300</v>
      </c>
      <c r="D16" s="39" t="s">
        <v>517</v>
      </c>
      <c r="E16" s="30"/>
      <c r="F16" s="31"/>
    </row>
    <row r="17" spans="1:6" s="19" customFormat="1" ht="12.75">
      <c r="A17" s="33">
        <v>700</v>
      </c>
      <c r="B17" s="33"/>
      <c r="C17" s="33"/>
      <c r="D17" s="16" t="s">
        <v>163</v>
      </c>
      <c r="E17" s="17">
        <f>E18</f>
        <v>846530</v>
      </c>
      <c r="F17" s="18"/>
    </row>
    <row r="18" spans="1:6" s="19" customFormat="1" ht="12.75">
      <c r="A18" s="20"/>
      <c r="B18" s="20">
        <v>70005</v>
      </c>
      <c r="C18" s="20"/>
      <c r="D18" s="22" t="s">
        <v>164</v>
      </c>
      <c r="E18" s="40">
        <f>SUM(E19:E23)</f>
        <v>846530</v>
      </c>
      <c r="F18" s="26"/>
    </row>
    <row r="19" spans="1:6" s="19" customFormat="1" ht="30.75" customHeight="1">
      <c r="A19" s="20"/>
      <c r="B19" s="27"/>
      <c r="C19" s="28" t="s">
        <v>165</v>
      </c>
      <c r="D19" s="29" t="s">
        <v>166</v>
      </c>
      <c r="E19" s="30">
        <f>21473+17320</f>
        <v>38793</v>
      </c>
      <c r="F19" s="31" t="s">
        <v>518</v>
      </c>
    </row>
    <row r="20" spans="1:6" s="19" customFormat="1" ht="76.5">
      <c r="A20" s="20"/>
      <c r="B20" s="27"/>
      <c r="C20" s="28" t="s">
        <v>153</v>
      </c>
      <c r="D20" s="29" t="s">
        <v>154</v>
      </c>
      <c r="E20" s="30">
        <f>20845+342+2788+36000+19150+200</f>
        <v>79325</v>
      </c>
      <c r="F20" s="31" t="s">
        <v>519</v>
      </c>
    </row>
    <row r="21" spans="1:6" s="19" customFormat="1" ht="102">
      <c r="A21" s="20"/>
      <c r="B21" s="27"/>
      <c r="C21" s="28" t="s">
        <v>167</v>
      </c>
      <c r="D21" s="29" t="s">
        <v>168</v>
      </c>
      <c r="E21" s="30">
        <f>11142+800000-87000</f>
        <v>724142</v>
      </c>
      <c r="F21" s="31" t="s">
        <v>556</v>
      </c>
    </row>
    <row r="22" spans="1:6" s="19" customFormat="1" ht="25.5">
      <c r="A22" s="20"/>
      <c r="B22" s="27"/>
      <c r="C22" s="28" t="s">
        <v>169</v>
      </c>
      <c r="D22" s="29" t="s">
        <v>170</v>
      </c>
      <c r="E22" s="30">
        <v>100</v>
      </c>
      <c r="F22" s="31"/>
    </row>
    <row r="23" spans="1:6" s="19" customFormat="1" ht="25.5">
      <c r="A23" s="20"/>
      <c r="B23" s="27"/>
      <c r="C23" s="28" t="s">
        <v>171</v>
      </c>
      <c r="D23" s="29" t="s">
        <v>172</v>
      </c>
      <c r="E23" s="30">
        <v>4170</v>
      </c>
      <c r="F23" s="31" t="s">
        <v>173</v>
      </c>
    </row>
    <row r="24" spans="1:6" s="19" customFormat="1" ht="12.75">
      <c r="A24" s="33">
        <v>750</v>
      </c>
      <c r="B24" s="33"/>
      <c r="C24" s="33"/>
      <c r="D24" s="16" t="s">
        <v>174</v>
      </c>
      <c r="E24" s="17">
        <f>E25+E28</f>
        <v>99700</v>
      </c>
      <c r="F24" s="18"/>
    </row>
    <row r="25" spans="1:6" s="19" customFormat="1" ht="12.75">
      <c r="A25" s="20"/>
      <c r="B25" s="20">
        <v>75011</v>
      </c>
      <c r="C25" s="20"/>
      <c r="D25" s="22" t="s">
        <v>175</v>
      </c>
      <c r="E25" s="23">
        <f>SUM(E26:E27)</f>
        <v>54700</v>
      </c>
      <c r="F25" s="24"/>
    </row>
    <row r="26" spans="1:6" s="19" customFormat="1" ht="51">
      <c r="A26" s="20"/>
      <c r="B26" s="27"/>
      <c r="C26" s="27">
        <v>2010</v>
      </c>
      <c r="D26" s="29" t="s">
        <v>176</v>
      </c>
      <c r="E26" s="30">
        <v>53800</v>
      </c>
      <c r="F26" s="31" t="s">
        <v>520</v>
      </c>
    </row>
    <row r="27" spans="1:6" s="19" customFormat="1" ht="51">
      <c r="A27" s="20"/>
      <c r="B27" s="27"/>
      <c r="C27" s="27">
        <v>2360</v>
      </c>
      <c r="D27" s="29" t="s">
        <v>177</v>
      </c>
      <c r="E27" s="30">
        <v>900</v>
      </c>
      <c r="F27" s="31" t="s">
        <v>521</v>
      </c>
    </row>
    <row r="28" spans="1:6" s="19" customFormat="1" ht="12.75">
      <c r="A28" s="20"/>
      <c r="B28" s="20">
        <v>75023</v>
      </c>
      <c r="C28" s="20"/>
      <c r="D28" s="22" t="s">
        <v>178</v>
      </c>
      <c r="E28" s="23">
        <f>SUM(E29:E29)</f>
        <v>45000</v>
      </c>
      <c r="F28" s="24"/>
    </row>
    <row r="29" spans="1:6" s="19" customFormat="1" ht="38.25">
      <c r="A29" s="27"/>
      <c r="B29" s="27"/>
      <c r="C29" s="28" t="s">
        <v>179</v>
      </c>
      <c r="D29" s="29" t="s">
        <v>180</v>
      </c>
      <c r="E29" s="30">
        <v>45000</v>
      </c>
      <c r="F29" s="31" t="s">
        <v>522</v>
      </c>
    </row>
    <row r="30" spans="1:6" s="19" customFormat="1" ht="38.25">
      <c r="A30" s="33">
        <v>751</v>
      </c>
      <c r="B30" s="15"/>
      <c r="C30" s="15"/>
      <c r="D30" s="16" t="s">
        <v>181</v>
      </c>
      <c r="E30" s="17">
        <f>E31+E33+E35</f>
        <v>1090</v>
      </c>
      <c r="F30" s="18"/>
    </row>
    <row r="31" spans="1:6" s="43" customFormat="1" ht="25.5">
      <c r="A31" s="41"/>
      <c r="B31" s="41">
        <v>75101</v>
      </c>
      <c r="C31" s="41"/>
      <c r="D31" s="42" t="s">
        <v>182</v>
      </c>
      <c r="E31" s="40">
        <f>E32</f>
        <v>1090</v>
      </c>
      <c r="F31" s="26"/>
    </row>
    <row r="32" spans="1:6" s="43" customFormat="1" ht="51">
      <c r="A32" s="41"/>
      <c r="B32" s="44"/>
      <c r="C32" s="27">
        <v>2010</v>
      </c>
      <c r="D32" s="29" t="s">
        <v>176</v>
      </c>
      <c r="E32" s="45">
        <v>1090</v>
      </c>
      <c r="F32" s="32" t="s">
        <v>557</v>
      </c>
    </row>
    <row r="33" spans="1:6" s="43" customFormat="1" ht="12.75" customHeight="1" hidden="1">
      <c r="A33" s="41"/>
      <c r="B33" s="110">
        <v>75107</v>
      </c>
      <c r="C33" s="27"/>
      <c r="D33" s="57" t="s">
        <v>523</v>
      </c>
      <c r="E33" s="40">
        <f>E34</f>
        <v>0</v>
      </c>
      <c r="F33" s="32"/>
    </row>
    <row r="34" spans="1:6" s="43" customFormat="1" ht="51" customHeight="1" hidden="1">
      <c r="A34" s="41"/>
      <c r="B34" s="44"/>
      <c r="C34" s="27">
        <v>2010</v>
      </c>
      <c r="D34" s="29" t="s">
        <v>176</v>
      </c>
      <c r="E34" s="45"/>
      <c r="F34" s="32"/>
    </row>
    <row r="35" spans="1:6" s="43" customFormat="1" ht="12.75" customHeight="1" hidden="1">
      <c r="A35" s="41"/>
      <c r="B35" s="110">
        <v>75108</v>
      </c>
      <c r="C35" s="27"/>
      <c r="D35" s="57" t="s">
        <v>524</v>
      </c>
      <c r="E35" s="40">
        <f>E36</f>
        <v>0</v>
      </c>
      <c r="F35" s="32"/>
    </row>
    <row r="36" spans="1:6" s="43" customFormat="1" ht="51" customHeight="1" hidden="1">
      <c r="A36" s="41"/>
      <c r="B36" s="44"/>
      <c r="C36" s="27">
        <v>2010</v>
      </c>
      <c r="D36" s="29" t="s">
        <v>176</v>
      </c>
      <c r="E36" s="45"/>
      <c r="F36" s="32"/>
    </row>
    <row r="37" spans="1:6" s="19" customFormat="1" ht="25.5">
      <c r="A37" s="33">
        <v>754</v>
      </c>
      <c r="B37" s="33"/>
      <c r="C37" s="33"/>
      <c r="D37" s="16" t="s">
        <v>183</v>
      </c>
      <c r="E37" s="17">
        <f>E38</f>
        <v>400</v>
      </c>
      <c r="F37" s="18"/>
    </row>
    <row r="38" spans="1:6" s="19" customFormat="1" ht="12.75">
      <c r="A38" s="20"/>
      <c r="B38" s="20">
        <v>75414</v>
      </c>
      <c r="C38" s="20"/>
      <c r="D38" s="22" t="s">
        <v>184</v>
      </c>
      <c r="E38" s="23">
        <f>SUM(E39)</f>
        <v>400</v>
      </c>
      <c r="F38" s="24"/>
    </row>
    <row r="39" spans="1:6" s="19" customFormat="1" ht="51">
      <c r="A39" s="20"/>
      <c r="B39" s="27"/>
      <c r="C39" s="27">
        <v>2010</v>
      </c>
      <c r="D39" s="29" t="s">
        <v>176</v>
      </c>
      <c r="E39" s="30">
        <v>400</v>
      </c>
      <c r="F39" s="31" t="s">
        <v>520</v>
      </c>
    </row>
    <row r="40" spans="1:6" s="19" customFormat="1" ht="51">
      <c r="A40" s="33">
        <v>756</v>
      </c>
      <c r="B40" s="33"/>
      <c r="C40" s="33"/>
      <c r="D40" s="16" t="s">
        <v>185</v>
      </c>
      <c r="E40" s="17">
        <f>E41+E51+E62+E68+E44</f>
        <v>7046800</v>
      </c>
      <c r="F40" s="18"/>
    </row>
    <row r="41" spans="1:6" s="43" customFormat="1" ht="25.5">
      <c r="A41" s="41"/>
      <c r="B41" s="41">
        <v>75601</v>
      </c>
      <c r="C41" s="41"/>
      <c r="D41" s="42" t="s">
        <v>186</v>
      </c>
      <c r="E41" s="40">
        <f>E42+E43</f>
        <v>7100</v>
      </c>
      <c r="F41" s="26"/>
    </row>
    <row r="42" spans="1:6" s="19" customFormat="1" ht="38.25">
      <c r="A42" s="20"/>
      <c r="B42" s="27"/>
      <c r="C42" s="28" t="s">
        <v>187</v>
      </c>
      <c r="D42" s="29" t="s">
        <v>188</v>
      </c>
      <c r="E42" s="30">
        <v>7000</v>
      </c>
      <c r="F42" s="31"/>
    </row>
    <row r="43" spans="1:6" s="19" customFormat="1" ht="25.5">
      <c r="A43" s="20"/>
      <c r="B43" s="27"/>
      <c r="C43" s="28" t="s">
        <v>169</v>
      </c>
      <c r="D43" s="29" t="s">
        <v>170</v>
      </c>
      <c r="E43" s="30">
        <v>100</v>
      </c>
      <c r="F43" s="31"/>
    </row>
    <row r="44" spans="1:6" s="19" customFormat="1" ht="63.75" customHeight="1">
      <c r="A44" s="20"/>
      <c r="B44" s="20">
        <v>75615</v>
      </c>
      <c r="C44" s="20"/>
      <c r="D44" s="22" t="s">
        <v>189</v>
      </c>
      <c r="E44" s="23">
        <f>SUM(E45:E50)</f>
        <v>2014335</v>
      </c>
      <c r="F44" s="31"/>
    </row>
    <row r="45" spans="1:6" s="19" customFormat="1" ht="33" customHeight="1">
      <c r="A45" s="20"/>
      <c r="B45" s="27"/>
      <c r="C45" s="28" t="s">
        <v>190</v>
      </c>
      <c r="D45" s="29" t="s">
        <v>191</v>
      </c>
      <c r="E45" s="30">
        <v>1647421</v>
      </c>
      <c r="F45" s="31" t="s">
        <v>558</v>
      </c>
    </row>
    <row r="46" spans="1:6" s="19" customFormat="1" ht="29.25" customHeight="1">
      <c r="A46" s="20"/>
      <c r="B46" s="27"/>
      <c r="C46" s="28" t="s">
        <v>192</v>
      </c>
      <c r="D46" s="29" t="s">
        <v>193</v>
      </c>
      <c r="E46" s="30">
        <v>289566</v>
      </c>
      <c r="F46" s="31" t="s">
        <v>525</v>
      </c>
    </row>
    <row r="47" spans="1:6" s="19" customFormat="1" ht="16.5" customHeight="1">
      <c r="A47" s="20"/>
      <c r="B47" s="27"/>
      <c r="C47" s="28" t="s">
        <v>194</v>
      </c>
      <c r="D47" s="29" t="s">
        <v>195</v>
      </c>
      <c r="E47" s="30">
        <v>29858</v>
      </c>
      <c r="F47" s="31" t="s">
        <v>526</v>
      </c>
    </row>
    <row r="48" spans="1:6" s="19" customFormat="1" ht="27.75" customHeight="1">
      <c r="A48" s="20"/>
      <c r="B48" s="27"/>
      <c r="C48" s="28" t="s">
        <v>196</v>
      </c>
      <c r="D48" s="29" t="s">
        <v>197</v>
      </c>
      <c r="E48" s="30">
        <v>27490</v>
      </c>
      <c r="F48" s="31" t="s">
        <v>559</v>
      </c>
    </row>
    <row r="49" spans="1:6" s="19" customFormat="1" ht="12.75">
      <c r="A49" s="20"/>
      <c r="B49" s="27"/>
      <c r="C49" s="28" t="s">
        <v>198</v>
      </c>
      <c r="D49" s="29" t="s">
        <v>199</v>
      </c>
      <c r="E49" s="30">
        <v>15000</v>
      </c>
      <c r="F49" s="31"/>
    </row>
    <row r="50" spans="1:6" s="19" customFormat="1" ht="25.5">
      <c r="A50" s="20"/>
      <c r="B50" s="27"/>
      <c r="C50" s="28" t="s">
        <v>169</v>
      </c>
      <c r="D50" s="29" t="s">
        <v>170</v>
      </c>
      <c r="E50" s="30">
        <v>5000</v>
      </c>
      <c r="F50" s="31"/>
    </row>
    <row r="51" spans="1:6" s="19" customFormat="1" ht="63.75">
      <c r="A51" s="20"/>
      <c r="B51" s="20">
        <v>75616</v>
      </c>
      <c r="C51" s="20"/>
      <c r="D51" s="22" t="s">
        <v>200</v>
      </c>
      <c r="E51" s="23">
        <f>SUM(E52:E61)</f>
        <v>1296777</v>
      </c>
      <c r="F51" s="24"/>
    </row>
    <row r="52" spans="1:6" s="19" customFormat="1" ht="30.75" customHeight="1">
      <c r="A52" s="20"/>
      <c r="B52" s="20"/>
      <c r="C52" s="28" t="s">
        <v>190</v>
      </c>
      <c r="D52" s="29" t="s">
        <v>191</v>
      </c>
      <c r="E52" s="30">
        <v>741765</v>
      </c>
      <c r="F52" s="31" t="s">
        <v>558</v>
      </c>
    </row>
    <row r="53" spans="1:6" s="19" customFormat="1" ht="32.25" customHeight="1">
      <c r="A53" s="20"/>
      <c r="B53" s="20"/>
      <c r="C53" s="28" t="s">
        <v>192</v>
      </c>
      <c r="D53" s="29" t="s">
        <v>193</v>
      </c>
      <c r="E53" s="30">
        <v>344931</v>
      </c>
      <c r="F53" s="31" t="s">
        <v>525</v>
      </c>
    </row>
    <row r="54" spans="1:6" s="19" customFormat="1" ht="25.5" customHeight="1">
      <c r="A54" s="20"/>
      <c r="B54" s="20"/>
      <c r="C54" s="28" t="s">
        <v>194</v>
      </c>
      <c r="D54" s="29" t="s">
        <v>195</v>
      </c>
      <c r="E54" s="30">
        <v>1131</v>
      </c>
      <c r="F54" s="31" t="s">
        <v>526</v>
      </c>
    </row>
    <row r="55" spans="1:6" s="19" customFormat="1" ht="25.5">
      <c r="A55" s="20"/>
      <c r="B55" s="20"/>
      <c r="C55" s="28" t="s">
        <v>196</v>
      </c>
      <c r="D55" s="29" t="s">
        <v>197</v>
      </c>
      <c r="E55" s="30">
        <v>66450</v>
      </c>
      <c r="F55" s="31" t="s">
        <v>559</v>
      </c>
    </row>
    <row r="56" spans="1:6" s="19" customFormat="1" ht="19.5" customHeight="1">
      <c r="A56" s="20"/>
      <c r="B56" s="27"/>
      <c r="C56" s="28" t="s">
        <v>201</v>
      </c>
      <c r="D56" s="29" t="s">
        <v>202</v>
      </c>
      <c r="E56" s="30">
        <v>1500</v>
      </c>
      <c r="F56" s="31"/>
    </row>
    <row r="57" spans="1:6" s="19" customFormat="1" ht="25.5">
      <c r="A57" s="20"/>
      <c r="B57" s="27"/>
      <c r="C57" s="28" t="s">
        <v>203</v>
      </c>
      <c r="D57" s="29" t="s">
        <v>204</v>
      </c>
      <c r="E57" s="30">
        <v>10000</v>
      </c>
      <c r="F57" s="31" t="s">
        <v>560</v>
      </c>
    </row>
    <row r="58" spans="1:6" s="19" customFormat="1" ht="27.75" customHeight="1">
      <c r="A58" s="20"/>
      <c r="B58" s="27"/>
      <c r="C58" s="28" t="s">
        <v>205</v>
      </c>
      <c r="D58" s="29" t="s">
        <v>206</v>
      </c>
      <c r="E58" s="30">
        <v>25000</v>
      </c>
      <c r="F58" s="31" t="s">
        <v>207</v>
      </c>
    </row>
    <row r="59" spans="1:6" s="19" customFormat="1" ht="38.25">
      <c r="A59" s="27"/>
      <c r="B59" s="27"/>
      <c r="C59" s="28" t="s">
        <v>208</v>
      </c>
      <c r="D59" s="29" t="s">
        <v>209</v>
      </c>
      <c r="E59" s="30">
        <v>6000</v>
      </c>
      <c r="F59" s="31" t="s">
        <v>210</v>
      </c>
    </row>
    <row r="60" spans="1:6" s="19" customFormat="1" ht="12.75">
      <c r="A60" s="20"/>
      <c r="B60" s="27"/>
      <c r="C60" s="28" t="s">
        <v>198</v>
      </c>
      <c r="D60" s="29" t="s">
        <v>199</v>
      </c>
      <c r="E60" s="30">
        <v>90000</v>
      </c>
      <c r="F60" s="31"/>
    </row>
    <row r="61" spans="1:6" s="19" customFormat="1" ht="25.5">
      <c r="A61" s="20"/>
      <c r="B61" s="27"/>
      <c r="C61" s="28" t="s">
        <v>169</v>
      </c>
      <c r="D61" s="29" t="s">
        <v>170</v>
      </c>
      <c r="E61" s="30">
        <v>10000</v>
      </c>
      <c r="F61" s="31" t="s">
        <v>211</v>
      </c>
    </row>
    <row r="62" spans="1:6" s="19" customFormat="1" ht="38.25">
      <c r="A62" s="20"/>
      <c r="B62" s="20">
        <v>75618</v>
      </c>
      <c r="C62" s="20"/>
      <c r="D62" s="22" t="s">
        <v>212</v>
      </c>
      <c r="E62" s="23">
        <f>SUM(E63:E67)</f>
        <v>1244800</v>
      </c>
      <c r="F62" s="24"/>
    </row>
    <row r="63" spans="1:6" s="19" customFormat="1" ht="18.75" customHeight="1">
      <c r="A63" s="20"/>
      <c r="B63" s="20"/>
      <c r="C63" s="28" t="s">
        <v>213</v>
      </c>
      <c r="D63" s="29" t="s">
        <v>214</v>
      </c>
      <c r="E63" s="30">
        <v>20000</v>
      </c>
      <c r="F63" s="31"/>
    </row>
    <row r="64" spans="1:6" s="19" customFormat="1" ht="24.75" customHeight="1">
      <c r="A64" s="20"/>
      <c r="B64" s="20"/>
      <c r="C64" s="28" t="s">
        <v>215</v>
      </c>
      <c r="D64" s="29" t="s">
        <v>216</v>
      </c>
      <c r="E64" s="30">
        <v>20000</v>
      </c>
      <c r="F64" s="31"/>
    </row>
    <row r="65" spans="1:6" s="19" customFormat="1" ht="26.25" customHeight="1">
      <c r="A65" s="20"/>
      <c r="B65" s="20"/>
      <c r="C65" s="28" t="s">
        <v>217</v>
      </c>
      <c r="D65" s="29" t="s">
        <v>218</v>
      </c>
      <c r="E65" s="30">
        <v>80000</v>
      </c>
      <c r="F65" s="31"/>
    </row>
    <row r="66" spans="1:6" s="19" customFormat="1" ht="63.75">
      <c r="A66" s="20"/>
      <c r="B66" s="20"/>
      <c r="C66" s="28" t="s">
        <v>157</v>
      </c>
      <c r="D66" s="29" t="s">
        <v>158</v>
      </c>
      <c r="E66" s="30">
        <f>150000+5000+38500+19800+910000</f>
        <v>1123300</v>
      </c>
      <c r="F66" s="31" t="s">
        <v>527</v>
      </c>
    </row>
    <row r="67" spans="1:6" s="19" customFormat="1" ht="25.5">
      <c r="A67" s="20"/>
      <c r="B67" s="27"/>
      <c r="C67" s="28" t="s">
        <v>169</v>
      </c>
      <c r="D67" s="29" t="s">
        <v>170</v>
      </c>
      <c r="E67" s="30">
        <v>1500</v>
      </c>
      <c r="F67" s="31"/>
    </row>
    <row r="68" spans="1:6" s="19" customFormat="1" ht="25.5">
      <c r="A68" s="20"/>
      <c r="B68" s="20">
        <v>75621</v>
      </c>
      <c r="C68" s="20"/>
      <c r="D68" s="22" t="s">
        <v>219</v>
      </c>
      <c r="E68" s="23">
        <f>SUM(E69:E70)</f>
        <v>2483788</v>
      </c>
      <c r="F68" s="24"/>
    </row>
    <row r="69" spans="1:6" s="19" customFormat="1" ht="27" customHeight="1">
      <c r="A69" s="20"/>
      <c r="B69" s="27"/>
      <c r="C69" s="28" t="s">
        <v>220</v>
      </c>
      <c r="D69" s="29" t="s">
        <v>221</v>
      </c>
      <c r="E69" s="30">
        <v>1988888</v>
      </c>
      <c r="F69" s="31" t="s">
        <v>528</v>
      </c>
    </row>
    <row r="70" spans="1:6" s="19" customFormat="1" ht="12.75">
      <c r="A70" s="20"/>
      <c r="B70" s="27"/>
      <c r="C70" s="28" t="s">
        <v>222</v>
      </c>
      <c r="D70" s="29" t="s">
        <v>223</v>
      </c>
      <c r="E70" s="30">
        <f>500000-5100</f>
        <v>494900</v>
      </c>
      <c r="F70" s="31"/>
    </row>
    <row r="71" spans="1:6" s="19" customFormat="1" ht="12.75">
      <c r="A71" s="33">
        <v>758</v>
      </c>
      <c r="B71" s="33"/>
      <c r="C71" s="33"/>
      <c r="D71" s="16" t="s">
        <v>224</v>
      </c>
      <c r="E71" s="17">
        <f>E72+E74+E76+E78</f>
        <v>4536494</v>
      </c>
      <c r="F71" s="18"/>
    </row>
    <row r="72" spans="1:6" s="19" customFormat="1" ht="25.5">
      <c r="A72" s="20"/>
      <c r="B72" s="20">
        <v>75801</v>
      </c>
      <c r="C72" s="20"/>
      <c r="D72" s="22" t="s">
        <v>225</v>
      </c>
      <c r="E72" s="23">
        <f>E73</f>
        <v>3931779</v>
      </c>
      <c r="F72" s="24"/>
    </row>
    <row r="73" spans="1:6" s="19" customFormat="1" ht="25.5">
      <c r="A73" s="20"/>
      <c r="B73" s="27"/>
      <c r="C73" s="27">
        <v>2920</v>
      </c>
      <c r="D73" s="29" t="s">
        <v>226</v>
      </c>
      <c r="E73" s="30">
        <v>3931779</v>
      </c>
      <c r="F73" s="31" t="s">
        <v>528</v>
      </c>
    </row>
    <row r="74" spans="1:6" s="19" customFormat="1" ht="25.5">
      <c r="A74" s="20"/>
      <c r="B74" s="20">
        <v>75807</v>
      </c>
      <c r="C74" s="20"/>
      <c r="D74" s="22" t="s">
        <v>227</v>
      </c>
      <c r="E74" s="23">
        <f>E75</f>
        <v>526810</v>
      </c>
      <c r="F74" s="24"/>
    </row>
    <row r="75" spans="1:6" s="19" customFormat="1" ht="25.5">
      <c r="A75" s="20"/>
      <c r="B75" s="27"/>
      <c r="C75" s="27">
        <v>2920</v>
      </c>
      <c r="D75" s="29" t="s">
        <v>226</v>
      </c>
      <c r="E75" s="30">
        <v>526810</v>
      </c>
      <c r="F75" s="31" t="s">
        <v>528</v>
      </c>
    </row>
    <row r="76" spans="1:6" s="49" customFormat="1" ht="12.75">
      <c r="A76" s="20"/>
      <c r="B76" s="20">
        <v>75814</v>
      </c>
      <c r="C76" s="20"/>
      <c r="D76" s="22" t="s">
        <v>228</v>
      </c>
      <c r="E76" s="23">
        <f>E77</f>
        <v>3000</v>
      </c>
      <c r="F76" s="24"/>
    </row>
    <row r="77" spans="1:6" s="19" customFormat="1" ht="25.5">
      <c r="A77" s="20"/>
      <c r="B77" s="27"/>
      <c r="C77" s="28" t="s">
        <v>171</v>
      </c>
      <c r="D77" s="29" t="s">
        <v>172</v>
      </c>
      <c r="E77" s="30">
        <v>3000</v>
      </c>
      <c r="F77" s="31" t="s">
        <v>229</v>
      </c>
    </row>
    <row r="78" spans="1:6" s="19" customFormat="1" ht="25.5" customHeight="1">
      <c r="A78" s="20"/>
      <c r="B78" s="20">
        <v>75831</v>
      </c>
      <c r="C78" s="20"/>
      <c r="D78" s="22" t="s">
        <v>529</v>
      </c>
      <c r="E78" s="23">
        <f>E79</f>
        <v>74905</v>
      </c>
      <c r="F78" s="24"/>
    </row>
    <row r="79" spans="1:6" s="19" customFormat="1" ht="25.5">
      <c r="A79" s="20"/>
      <c r="B79" s="27"/>
      <c r="C79" s="27">
        <v>2920</v>
      </c>
      <c r="D79" s="29" t="s">
        <v>226</v>
      </c>
      <c r="E79" s="30">
        <v>74905</v>
      </c>
      <c r="F79" s="31" t="s">
        <v>528</v>
      </c>
    </row>
    <row r="80" spans="1:6" s="19" customFormat="1" ht="15" customHeight="1">
      <c r="A80" s="33">
        <v>801</v>
      </c>
      <c r="B80" s="33"/>
      <c r="C80" s="33"/>
      <c r="D80" s="16" t="s">
        <v>230</v>
      </c>
      <c r="E80" s="17">
        <f>E81+E84+E88+E91+E93</f>
        <v>3917592</v>
      </c>
      <c r="F80" s="18"/>
    </row>
    <row r="81" spans="1:6" s="19" customFormat="1" ht="12.75" customHeight="1">
      <c r="A81" s="36"/>
      <c r="B81" s="36">
        <v>80101</v>
      </c>
      <c r="C81" s="36"/>
      <c r="D81" s="22" t="s">
        <v>231</v>
      </c>
      <c r="E81" s="23">
        <f>E82</f>
        <v>8000</v>
      </c>
      <c r="F81" s="24"/>
    </row>
    <row r="82" spans="1:6" s="43" customFormat="1" ht="12.75">
      <c r="A82" s="41"/>
      <c r="B82" s="41"/>
      <c r="C82" s="52" t="s">
        <v>241</v>
      </c>
      <c r="D82" s="53" t="s">
        <v>242</v>
      </c>
      <c r="E82" s="45">
        <v>8000</v>
      </c>
      <c r="F82" s="50"/>
    </row>
    <row r="83" spans="1:6" s="43" customFormat="1" ht="25.5" customHeight="1" hidden="1">
      <c r="A83" s="41"/>
      <c r="B83" s="41"/>
      <c r="C83" s="52">
        <v>2030</v>
      </c>
      <c r="D83" s="53" t="s">
        <v>248</v>
      </c>
      <c r="E83" s="45"/>
      <c r="F83" s="50"/>
    </row>
    <row r="84" spans="1:6" s="19" customFormat="1" ht="12.75">
      <c r="A84" s="36"/>
      <c r="B84" s="36">
        <v>80104</v>
      </c>
      <c r="C84" s="36"/>
      <c r="D84" s="37" t="s">
        <v>232</v>
      </c>
      <c r="E84" s="23">
        <f>E85+E86+E87</f>
        <v>65220</v>
      </c>
      <c r="F84" s="24"/>
    </row>
    <row r="85" spans="1:6" s="19" customFormat="1" ht="25.5">
      <c r="A85" s="36"/>
      <c r="B85" s="36"/>
      <c r="C85" s="28" t="s">
        <v>233</v>
      </c>
      <c r="D85" s="29" t="s">
        <v>234</v>
      </c>
      <c r="E85" s="30">
        <v>60000</v>
      </c>
      <c r="F85" s="31" t="s">
        <v>561</v>
      </c>
    </row>
    <row r="86" spans="1:6" s="19" customFormat="1" ht="25.5">
      <c r="A86" s="36"/>
      <c r="B86" s="36"/>
      <c r="C86" s="28" t="s">
        <v>169</v>
      </c>
      <c r="D86" s="29" t="s">
        <v>170</v>
      </c>
      <c r="E86" s="30">
        <v>100</v>
      </c>
      <c r="F86" s="31"/>
    </row>
    <row r="87" spans="1:6" s="19" customFormat="1" ht="12.75">
      <c r="A87" s="36"/>
      <c r="B87" s="36"/>
      <c r="C87" s="52" t="s">
        <v>241</v>
      </c>
      <c r="D87" s="53" t="s">
        <v>242</v>
      </c>
      <c r="E87" s="30">
        <v>5120</v>
      </c>
      <c r="F87" s="31" t="s">
        <v>530</v>
      </c>
    </row>
    <row r="88" spans="1:6" s="19" customFormat="1" ht="12.75">
      <c r="A88" s="36"/>
      <c r="B88" s="20">
        <v>80110</v>
      </c>
      <c r="C88" s="20"/>
      <c r="D88" s="22" t="s">
        <v>235</v>
      </c>
      <c r="E88" s="23">
        <f>E89+E90</f>
        <v>3831332</v>
      </c>
      <c r="F88" s="24"/>
    </row>
    <row r="89" spans="1:6" s="19" customFormat="1" ht="25.5">
      <c r="A89" s="36"/>
      <c r="B89" s="36"/>
      <c r="C89" s="28">
        <v>6298</v>
      </c>
      <c r="D89" s="29" t="s">
        <v>236</v>
      </c>
      <c r="E89" s="30">
        <f>3380587</f>
        <v>3380587</v>
      </c>
      <c r="F89" s="29" t="s">
        <v>237</v>
      </c>
    </row>
    <row r="90" spans="1:6" s="19" customFormat="1" ht="38.25">
      <c r="A90" s="36"/>
      <c r="B90" s="36"/>
      <c r="C90" s="28">
        <v>6339</v>
      </c>
      <c r="D90" s="29" t="s">
        <v>238</v>
      </c>
      <c r="E90" s="30">
        <f>450745</f>
        <v>450745</v>
      </c>
      <c r="F90" s="29" t="s">
        <v>239</v>
      </c>
    </row>
    <row r="91" spans="1:6" s="19" customFormat="1" ht="12.75" customHeight="1" hidden="1">
      <c r="A91" s="36"/>
      <c r="B91" s="20">
        <v>80113</v>
      </c>
      <c r="C91" s="20"/>
      <c r="D91" s="22" t="s">
        <v>240</v>
      </c>
      <c r="E91" s="23">
        <f>E92</f>
        <v>0</v>
      </c>
      <c r="F91" s="24"/>
    </row>
    <row r="92" spans="1:6" s="19" customFormat="1" ht="12.75" customHeight="1" hidden="1">
      <c r="A92" s="36"/>
      <c r="B92" s="36"/>
      <c r="C92" s="52" t="s">
        <v>241</v>
      </c>
      <c r="D92" s="53" t="s">
        <v>242</v>
      </c>
      <c r="E92" s="30"/>
      <c r="F92" s="31"/>
    </row>
    <row r="93" spans="1:6" s="19" customFormat="1" ht="25.5">
      <c r="A93" s="36"/>
      <c r="B93" s="20">
        <v>80114</v>
      </c>
      <c r="C93" s="20"/>
      <c r="D93" s="22" t="s">
        <v>243</v>
      </c>
      <c r="E93" s="23">
        <f>E94+E95+E96</f>
        <v>13040</v>
      </c>
      <c r="F93" s="24"/>
    </row>
    <row r="94" spans="1:6" s="19" customFormat="1" ht="18" customHeight="1">
      <c r="A94" s="36"/>
      <c r="B94" s="36"/>
      <c r="C94" s="28" t="s">
        <v>179</v>
      </c>
      <c r="D94" s="29" t="s">
        <v>180</v>
      </c>
      <c r="E94" s="30">
        <v>1000</v>
      </c>
      <c r="F94" s="31"/>
    </row>
    <row r="95" spans="1:6" s="19" customFormat="1" ht="18" customHeight="1">
      <c r="A95" s="36"/>
      <c r="B95" s="36"/>
      <c r="C95" s="28" t="s">
        <v>171</v>
      </c>
      <c r="D95" s="29" t="s">
        <v>172</v>
      </c>
      <c r="E95" s="30">
        <v>100</v>
      </c>
      <c r="F95" s="31"/>
    </row>
    <row r="96" spans="1:6" s="19" customFormat="1" ht="17.25" customHeight="1">
      <c r="A96" s="36"/>
      <c r="B96" s="36"/>
      <c r="C96" s="52" t="s">
        <v>241</v>
      </c>
      <c r="D96" s="53" t="s">
        <v>242</v>
      </c>
      <c r="E96" s="30">
        <v>11940</v>
      </c>
      <c r="F96" s="31" t="s">
        <v>531</v>
      </c>
    </row>
    <row r="97" spans="1:6" s="19" customFormat="1" ht="18" customHeight="1" hidden="1">
      <c r="A97" s="36"/>
      <c r="B97" s="36">
        <v>80195</v>
      </c>
      <c r="C97" s="28"/>
      <c r="D97" s="57" t="s">
        <v>152</v>
      </c>
      <c r="E97" s="23">
        <f>E98</f>
        <v>0</v>
      </c>
      <c r="F97" s="31"/>
    </row>
    <row r="98" spans="1:6" s="19" customFormat="1" ht="30.75" customHeight="1" hidden="1">
      <c r="A98" s="36"/>
      <c r="B98" s="36"/>
      <c r="C98" s="52">
        <v>2030</v>
      </c>
      <c r="D98" s="53" t="s">
        <v>248</v>
      </c>
      <c r="E98" s="30"/>
      <c r="F98" s="31"/>
    </row>
    <row r="99" spans="1:6" s="19" customFormat="1" ht="12.75">
      <c r="A99" s="33">
        <v>852</v>
      </c>
      <c r="B99" s="33"/>
      <c r="C99" s="33"/>
      <c r="D99" s="16" t="s">
        <v>244</v>
      </c>
      <c r="E99" s="17">
        <f>E102+E104+E107+E109+E100+E114</f>
        <v>1362024</v>
      </c>
      <c r="F99" s="18"/>
    </row>
    <row r="100" spans="1:6" s="43" customFormat="1" ht="38.25">
      <c r="A100" s="41"/>
      <c r="B100" s="20">
        <v>85212</v>
      </c>
      <c r="C100" s="20"/>
      <c r="D100" s="22" t="s">
        <v>245</v>
      </c>
      <c r="E100" s="40">
        <f>E101</f>
        <v>1210000</v>
      </c>
      <c r="F100" s="26"/>
    </row>
    <row r="101" spans="1:6" s="43" customFormat="1" ht="51">
      <c r="A101" s="41"/>
      <c r="B101" s="20"/>
      <c r="C101" s="27">
        <v>2010</v>
      </c>
      <c r="D101" s="29" t="s">
        <v>176</v>
      </c>
      <c r="E101" s="45">
        <v>1210000</v>
      </c>
      <c r="F101" s="31" t="s">
        <v>520</v>
      </c>
    </row>
    <row r="102" spans="1:6" s="43" customFormat="1" ht="51">
      <c r="A102" s="41"/>
      <c r="B102" s="20">
        <v>85213</v>
      </c>
      <c r="C102" s="20"/>
      <c r="D102" s="22" t="s">
        <v>246</v>
      </c>
      <c r="E102" s="40">
        <f>E103</f>
        <v>9800</v>
      </c>
      <c r="F102" s="26"/>
    </row>
    <row r="103" spans="1:6" s="43" customFormat="1" ht="51">
      <c r="A103" s="41"/>
      <c r="B103" s="41"/>
      <c r="C103" s="27">
        <v>2010</v>
      </c>
      <c r="D103" s="29" t="s">
        <v>176</v>
      </c>
      <c r="E103" s="45">
        <v>9800</v>
      </c>
      <c r="F103" s="31" t="s">
        <v>520</v>
      </c>
    </row>
    <row r="104" spans="1:6" s="19" customFormat="1" ht="25.5">
      <c r="A104" s="20"/>
      <c r="B104" s="20">
        <v>85214</v>
      </c>
      <c r="C104" s="20"/>
      <c r="D104" s="22" t="s">
        <v>247</v>
      </c>
      <c r="E104" s="23">
        <f>E105+E106</f>
        <v>63800</v>
      </c>
      <c r="F104" s="24"/>
    </row>
    <row r="105" spans="1:6" s="19" customFormat="1" ht="51">
      <c r="A105" s="20"/>
      <c r="B105" s="27"/>
      <c r="C105" s="27">
        <v>2010</v>
      </c>
      <c r="D105" s="29" t="s">
        <v>176</v>
      </c>
      <c r="E105" s="30">
        <v>33300</v>
      </c>
      <c r="F105" s="357" t="s">
        <v>520</v>
      </c>
    </row>
    <row r="106" spans="1:6" s="19" customFormat="1" ht="40.5" customHeight="1">
      <c r="A106" s="20"/>
      <c r="B106" s="27"/>
      <c r="C106" s="52">
        <v>2030</v>
      </c>
      <c r="D106" s="53" t="s">
        <v>248</v>
      </c>
      <c r="E106" s="30">
        <v>30500</v>
      </c>
      <c r="F106" s="358"/>
    </row>
    <row r="107" spans="1:6" s="19" customFormat="1" ht="12.75" customHeight="1" hidden="1">
      <c r="A107" s="20"/>
      <c r="B107" s="20">
        <v>85216</v>
      </c>
      <c r="C107" s="20"/>
      <c r="D107" s="22" t="s">
        <v>249</v>
      </c>
      <c r="E107" s="23">
        <f>E108</f>
        <v>0</v>
      </c>
      <c r="F107" s="24"/>
    </row>
    <row r="108" spans="1:6" s="19" customFormat="1" ht="38.25" customHeight="1" hidden="1">
      <c r="A108" s="20"/>
      <c r="B108" s="27"/>
      <c r="C108" s="27">
        <v>2010</v>
      </c>
      <c r="D108" s="29" t="s">
        <v>176</v>
      </c>
      <c r="E108" s="30"/>
      <c r="F108" s="31"/>
    </row>
    <row r="109" spans="1:6" s="19" customFormat="1" ht="12.75">
      <c r="A109" s="20"/>
      <c r="B109" s="20">
        <v>85219</v>
      </c>
      <c r="C109" s="20"/>
      <c r="D109" s="22" t="s">
        <v>250</v>
      </c>
      <c r="E109" s="23">
        <f>E110+E111</f>
        <v>64400</v>
      </c>
      <c r="F109" s="24"/>
    </row>
    <row r="110" spans="1:6" s="19" customFormat="1" ht="38.25">
      <c r="A110" s="20"/>
      <c r="B110" s="27"/>
      <c r="C110" s="52">
        <v>2030</v>
      </c>
      <c r="D110" s="53" t="s">
        <v>248</v>
      </c>
      <c r="E110" s="30">
        <v>64300</v>
      </c>
      <c r="F110" s="31" t="s">
        <v>520</v>
      </c>
    </row>
    <row r="111" spans="1:6" s="49" customFormat="1" ht="25.5">
      <c r="A111" s="20"/>
      <c r="B111" s="20"/>
      <c r="C111" s="28" t="s">
        <v>171</v>
      </c>
      <c r="D111" s="29" t="s">
        <v>172</v>
      </c>
      <c r="E111" s="30">
        <v>100</v>
      </c>
      <c r="F111" s="55" t="s">
        <v>251</v>
      </c>
    </row>
    <row r="112" spans="1:6" s="58" customFormat="1" ht="12.75" customHeight="1" hidden="1">
      <c r="A112" s="56"/>
      <c r="B112" s="56">
        <v>85278</v>
      </c>
      <c r="C112" s="56"/>
      <c r="D112" s="57" t="s">
        <v>252</v>
      </c>
      <c r="E112" s="23">
        <f>E113</f>
        <v>0</v>
      </c>
      <c r="F112" s="48"/>
    </row>
    <row r="113" spans="1:6" s="49" customFormat="1" ht="38.25" customHeight="1" hidden="1">
      <c r="A113" s="20"/>
      <c r="B113" s="20"/>
      <c r="C113" s="27">
        <v>2010</v>
      </c>
      <c r="D113" s="29" t="s">
        <v>176</v>
      </c>
      <c r="E113" s="59"/>
      <c r="F113" s="24"/>
    </row>
    <row r="114" spans="1:6" s="58" customFormat="1" ht="12.75" customHeight="1">
      <c r="A114" s="56"/>
      <c r="B114" s="56">
        <v>85295</v>
      </c>
      <c r="C114" s="56"/>
      <c r="D114" s="57" t="s">
        <v>152</v>
      </c>
      <c r="E114" s="23">
        <f>E115</f>
        <v>14024</v>
      </c>
      <c r="F114" s="48"/>
    </row>
    <row r="115" spans="1:6" s="49" customFormat="1" ht="38.25">
      <c r="A115" s="20"/>
      <c r="B115" s="20"/>
      <c r="C115" s="52">
        <v>2030</v>
      </c>
      <c r="D115" s="53" t="s">
        <v>248</v>
      </c>
      <c r="E115" s="30">
        <v>14024</v>
      </c>
      <c r="F115" s="24"/>
    </row>
    <row r="116" spans="1:6" s="19" customFormat="1" ht="12.75" customHeight="1" hidden="1">
      <c r="A116" s="33">
        <v>854</v>
      </c>
      <c r="B116" s="33"/>
      <c r="C116" s="33"/>
      <c r="D116" s="16" t="s">
        <v>532</v>
      </c>
      <c r="E116" s="17">
        <f>E117</f>
        <v>0</v>
      </c>
      <c r="F116" s="18"/>
    </row>
    <row r="117" spans="1:6" s="49" customFormat="1" ht="12.75" customHeight="1" hidden="1">
      <c r="A117" s="20"/>
      <c r="B117" s="20">
        <v>85415</v>
      </c>
      <c r="C117" s="52"/>
      <c r="D117" s="207" t="s">
        <v>533</v>
      </c>
      <c r="E117" s="23">
        <f>E118</f>
        <v>0</v>
      </c>
      <c r="F117" s="24"/>
    </row>
    <row r="118" spans="1:6" s="49" customFormat="1" ht="38.25" customHeight="1" hidden="1">
      <c r="A118" s="20"/>
      <c r="B118" s="20"/>
      <c r="C118" s="52">
        <v>2030</v>
      </c>
      <c r="D118" s="53" t="s">
        <v>248</v>
      </c>
      <c r="E118" s="59"/>
      <c r="F118" s="24"/>
    </row>
    <row r="119" spans="1:6" s="19" customFormat="1" ht="25.5">
      <c r="A119" s="33">
        <v>900</v>
      </c>
      <c r="B119" s="33"/>
      <c r="C119" s="33"/>
      <c r="D119" s="16" t="s">
        <v>253</v>
      </c>
      <c r="E119" s="17">
        <f>E120</f>
        <v>10000</v>
      </c>
      <c r="F119" s="18"/>
    </row>
    <row r="120" spans="1:6" s="19" customFormat="1" ht="25.5">
      <c r="A120" s="20"/>
      <c r="B120" s="20">
        <v>90011</v>
      </c>
      <c r="C120" s="20"/>
      <c r="D120" s="22" t="s">
        <v>255</v>
      </c>
      <c r="E120" s="23">
        <f>SUM(E121:E121)</f>
        <v>10000</v>
      </c>
      <c r="F120" s="24"/>
    </row>
    <row r="121" spans="1:6" s="19" customFormat="1" ht="12.75">
      <c r="A121" s="27"/>
      <c r="B121" s="27"/>
      <c r="C121" s="28" t="s">
        <v>256</v>
      </c>
      <c r="D121" s="29" t="s">
        <v>257</v>
      </c>
      <c r="E121" s="30">
        <v>10000</v>
      </c>
      <c r="F121" s="31"/>
    </row>
    <row r="122" spans="1:6" s="19" customFormat="1" ht="12.75" customHeight="1" hidden="1">
      <c r="A122" s="27"/>
      <c r="B122" s="20">
        <v>90095</v>
      </c>
      <c r="C122" s="20"/>
      <c r="D122" s="22" t="s">
        <v>152</v>
      </c>
      <c r="E122" s="23">
        <f>E123</f>
        <v>0</v>
      </c>
      <c r="F122" s="31"/>
    </row>
    <row r="123" spans="1:6" s="19" customFormat="1" ht="63.75" customHeight="1" hidden="1">
      <c r="A123" s="27"/>
      <c r="B123" s="36"/>
      <c r="C123" s="28">
        <v>2700</v>
      </c>
      <c r="D123" s="29" t="s">
        <v>534</v>
      </c>
      <c r="E123" s="30"/>
      <c r="F123" s="31"/>
    </row>
    <row r="124" spans="1:6" s="19" customFormat="1" ht="12.75" customHeight="1" hidden="1">
      <c r="A124" s="208">
        <v>921</v>
      </c>
      <c r="B124" s="33"/>
      <c r="C124" s="33"/>
      <c r="D124" s="16" t="s">
        <v>391</v>
      </c>
      <c r="E124" s="17">
        <f>E125</f>
        <v>0</v>
      </c>
      <c r="F124" s="209"/>
    </row>
    <row r="125" spans="1:6" s="19" customFormat="1" ht="12.75" customHeight="1" hidden="1">
      <c r="A125" s="27"/>
      <c r="B125" s="20">
        <v>92116</v>
      </c>
      <c r="C125" s="20"/>
      <c r="D125" s="22" t="s">
        <v>395</v>
      </c>
      <c r="E125" s="23">
        <f>E126</f>
        <v>0</v>
      </c>
      <c r="F125" s="206"/>
    </row>
    <row r="126" spans="1:6" s="19" customFormat="1" ht="54.75" customHeight="1" hidden="1">
      <c r="A126" s="27"/>
      <c r="B126" s="20"/>
      <c r="C126" s="52">
        <v>2020</v>
      </c>
      <c r="D126" s="53" t="s">
        <v>535</v>
      </c>
      <c r="E126" s="30"/>
      <c r="F126" s="31"/>
    </row>
    <row r="127" spans="1:6" s="10" customFormat="1" ht="15.75">
      <c r="A127" s="60"/>
      <c r="B127" s="61"/>
      <c r="C127" s="61"/>
      <c r="D127" s="60" t="s">
        <v>258</v>
      </c>
      <c r="E127" s="62">
        <f>E10+E13+E17+E24+E30+E37+E40+E71+E80+E99+E119+E124+E116+E7</f>
        <v>17825130</v>
      </c>
      <c r="F127" s="63"/>
    </row>
    <row r="128" s="19" customFormat="1" ht="12.75">
      <c r="E128" s="65"/>
    </row>
    <row r="129" spans="5:6" s="19" customFormat="1" ht="12.75">
      <c r="E129" s="66"/>
      <c r="F129" s="47"/>
    </row>
    <row r="130" spans="5:6" s="19" customFormat="1" ht="12.75">
      <c r="E130" s="68"/>
      <c r="F130" s="47"/>
    </row>
    <row r="131" spans="4:6" s="19" customFormat="1" ht="12.75">
      <c r="D131" s="49"/>
      <c r="E131" s="66"/>
      <c r="F131" s="47"/>
    </row>
    <row r="132" spans="4:6" s="19" customFormat="1" ht="12.75">
      <c r="D132" s="49"/>
      <c r="E132" s="66"/>
      <c r="F132" s="47"/>
    </row>
    <row r="133" ht="12.75">
      <c r="E133" s="69"/>
    </row>
    <row r="135" ht="12.75">
      <c r="E135" s="69"/>
    </row>
  </sheetData>
  <mergeCells count="8">
    <mergeCell ref="A3:A4"/>
    <mergeCell ref="B3:B4"/>
    <mergeCell ref="C3:C4"/>
    <mergeCell ref="D3:D4"/>
    <mergeCell ref="F8:F9"/>
    <mergeCell ref="F105:F106"/>
    <mergeCell ref="E3:E4"/>
    <mergeCell ref="F3:F4"/>
  </mergeCells>
  <printOptions/>
  <pageMargins left="0.15" right="0.13" top="0.71" bottom="0.47" header="0.37" footer="0.47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I52"/>
  <sheetViews>
    <sheetView workbookViewId="0" topLeftCell="A1">
      <selection activeCell="BE14" sqref="BE14"/>
    </sheetView>
  </sheetViews>
  <sheetFormatPr defaultColWidth="9.140625" defaultRowHeight="34.5" customHeight="1"/>
  <cols>
    <col min="1" max="1" width="1.8515625" style="223" customWidth="1"/>
    <col min="2" max="2" width="3.57421875" style="223" customWidth="1"/>
    <col min="3" max="3" width="11.57421875" style="223" customWidth="1"/>
    <col min="4" max="4" width="10.421875" style="223" customWidth="1"/>
    <col min="5" max="5" width="9.140625" style="223" customWidth="1"/>
    <col min="6" max="6" width="14.28125" style="223" customWidth="1"/>
    <col min="7" max="7" width="14.57421875" style="223" hidden="1" customWidth="1"/>
    <col min="8" max="8" width="12.7109375" style="223" hidden="1" customWidth="1"/>
    <col min="9" max="10" width="12.7109375" style="223" customWidth="1"/>
    <col min="11" max="13" width="12.7109375" style="223" hidden="1" customWidth="1"/>
    <col min="14" max="14" width="12.8515625" style="223" hidden="1" customWidth="1"/>
    <col min="15" max="15" width="14.421875" style="223" hidden="1" customWidth="1"/>
    <col min="16" max="16" width="12.7109375" style="223" hidden="1" customWidth="1"/>
    <col min="17" max="17" width="12.7109375" style="223" customWidth="1"/>
    <col min="18" max="18" width="11.421875" style="223" hidden="1" customWidth="1"/>
    <col min="19" max="19" width="13.8515625" style="223" hidden="1" customWidth="1"/>
    <col min="20" max="20" width="14.140625" style="223" hidden="1" customWidth="1"/>
    <col min="21" max="21" width="13.140625" style="223" hidden="1" customWidth="1"/>
    <col min="22" max="23" width="13.140625" style="223" bestFit="1" customWidth="1"/>
    <col min="24" max="24" width="11.140625" style="223" customWidth="1"/>
    <col min="25" max="25" width="11.8515625" style="223" customWidth="1"/>
    <col min="26" max="26" width="13.140625" style="223" bestFit="1" customWidth="1"/>
    <col min="27" max="27" width="11.421875" style="223" customWidth="1"/>
    <col min="28" max="28" width="6.28125" style="223" bestFit="1" customWidth="1"/>
    <col min="29" max="29" width="13.140625" style="223" bestFit="1" customWidth="1"/>
    <col min="30" max="32" width="0" style="223" hidden="1" customWidth="1"/>
    <col min="33" max="33" width="10.421875" style="223" hidden="1" customWidth="1"/>
    <col min="34" max="36" width="0" style="223" hidden="1" customWidth="1"/>
    <col min="37" max="37" width="10.7109375" style="223" hidden="1" customWidth="1"/>
    <col min="38" max="40" width="0" style="223" hidden="1" customWidth="1"/>
    <col min="41" max="41" width="11.00390625" style="223" hidden="1" customWidth="1"/>
    <col min="42" max="44" width="0" style="223" hidden="1" customWidth="1"/>
    <col min="45" max="45" width="11.00390625" style="223" hidden="1" customWidth="1"/>
    <col min="46" max="48" width="0" style="223" hidden="1" customWidth="1"/>
    <col min="49" max="49" width="11.28125" style="223" hidden="1" customWidth="1"/>
    <col min="50" max="52" width="0" style="223" hidden="1" customWidth="1"/>
    <col min="53" max="53" width="10.8515625" style="223" hidden="1" customWidth="1"/>
    <col min="54" max="54" width="13.421875" style="223" customWidth="1"/>
    <col min="55" max="55" width="12.421875" style="223" customWidth="1"/>
    <col min="56" max="56" width="6.57421875" style="223" customWidth="1"/>
    <col min="57" max="57" width="12.28125" style="223" customWidth="1"/>
    <col min="58" max="16384" width="9.140625" style="223" customWidth="1"/>
  </cols>
  <sheetData>
    <row r="1" spans="3:61" s="342" customFormat="1" ht="54.75" customHeight="1">
      <c r="C1" s="343" t="s">
        <v>428</v>
      </c>
      <c r="D1" s="343"/>
      <c r="E1" s="343"/>
      <c r="F1" s="343"/>
      <c r="G1" s="343"/>
      <c r="H1" s="343"/>
      <c r="I1" s="237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453"/>
      <c r="AC1" s="453"/>
      <c r="AD1" s="453"/>
      <c r="AE1" s="453"/>
      <c r="AF1" s="453"/>
      <c r="AG1" s="453"/>
      <c r="BC1" s="344"/>
      <c r="BD1" s="288" t="s">
        <v>33</v>
      </c>
      <c r="BE1" s="288"/>
      <c r="BF1" s="233"/>
      <c r="BG1" s="233"/>
      <c r="BH1" s="233"/>
      <c r="BI1" s="233"/>
    </row>
    <row r="2" spans="4:57" ht="11.25" customHeight="1">
      <c r="D2" s="238"/>
      <c r="G2" s="237"/>
      <c r="H2" s="237"/>
      <c r="I2" s="23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BC2" s="227"/>
      <c r="BD2" s="472"/>
      <c r="BE2" s="472"/>
    </row>
    <row r="3" spans="2:57" ht="13.5" customHeight="1">
      <c r="B3" s="465" t="s">
        <v>429</v>
      </c>
      <c r="C3" s="465" t="s">
        <v>430</v>
      </c>
      <c r="D3" s="475" t="s">
        <v>431</v>
      </c>
      <c r="E3" s="465" t="s">
        <v>432</v>
      </c>
      <c r="F3" s="478" t="s">
        <v>433</v>
      </c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80"/>
      <c r="R3" s="481" t="s">
        <v>434</v>
      </c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3"/>
      <c r="AD3" s="240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2"/>
      <c r="BB3" s="243"/>
      <c r="BC3" s="244"/>
      <c r="BD3" s="245"/>
      <c r="BE3" s="246"/>
    </row>
    <row r="4" spans="2:57" ht="21" customHeight="1">
      <c r="B4" s="473"/>
      <c r="C4" s="473"/>
      <c r="D4" s="476"/>
      <c r="E4" s="473"/>
      <c r="F4" s="470" t="s">
        <v>435</v>
      </c>
      <c r="G4" s="224"/>
      <c r="H4" s="239" t="s">
        <v>436</v>
      </c>
      <c r="I4" s="247"/>
      <c r="J4" s="247"/>
      <c r="K4" s="247"/>
      <c r="L4" s="247"/>
      <c r="M4" s="247"/>
      <c r="N4" s="247"/>
      <c r="O4" s="247"/>
      <c r="P4" s="248"/>
      <c r="Q4" s="247"/>
      <c r="R4" s="486">
        <v>2005</v>
      </c>
      <c r="S4" s="486"/>
      <c r="T4" s="486"/>
      <c r="U4" s="487"/>
      <c r="V4" s="249"/>
      <c r="W4" s="250">
        <v>2006</v>
      </c>
      <c r="X4" s="250"/>
      <c r="Y4" s="251"/>
      <c r="Z4" s="488">
        <v>2007</v>
      </c>
      <c r="AA4" s="489"/>
      <c r="AB4" s="489"/>
      <c r="AC4" s="490"/>
      <c r="AD4" s="491">
        <v>2008</v>
      </c>
      <c r="AE4" s="492"/>
      <c r="AF4" s="492"/>
      <c r="AG4" s="493"/>
      <c r="AH4" s="494">
        <v>2009</v>
      </c>
      <c r="AI4" s="495"/>
      <c r="AJ4" s="495"/>
      <c r="AK4" s="496"/>
      <c r="AL4" s="488">
        <v>2010</v>
      </c>
      <c r="AM4" s="489"/>
      <c r="AN4" s="489"/>
      <c r="AO4" s="490"/>
      <c r="AP4" s="497">
        <v>2011</v>
      </c>
      <c r="AQ4" s="498"/>
      <c r="AR4" s="498"/>
      <c r="AS4" s="499"/>
      <c r="AT4" s="488">
        <v>2012</v>
      </c>
      <c r="AU4" s="489"/>
      <c r="AV4" s="489"/>
      <c r="AW4" s="490"/>
      <c r="AX4" s="491">
        <v>2013</v>
      </c>
      <c r="AY4" s="492"/>
      <c r="AZ4" s="492"/>
      <c r="BA4" s="493"/>
      <c r="BB4" s="500">
        <v>2008</v>
      </c>
      <c r="BC4" s="501"/>
      <c r="BD4" s="501"/>
      <c r="BE4" s="502"/>
    </row>
    <row r="5" spans="2:57" ht="22.5" customHeight="1">
      <c r="B5" s="473"/>
      <c r="C5" s="473"/>
      <c r="D5" s="476"/>
      <c r="E5" s="473"/>
      <c r="F5" s="484"/>
      <c r="G5" s="239" t="s">
        <v>436</v>
      </c>
      <c r="H5" s="465">
        <v>2005</v>
      </c>
      <c r="I5" s="465">
        <v>2006</v>
      </c>
      <c r="J5" s="465">
        <v>2007</v>
      </c>
      <c r="K5" s="465">
        <v>2008</v>
      </c>
      <c r="L5" s="465">
        <v>2009</v>
      </c>
      <c r="M5" s="465">
        <v>2010</v>
      </c>
      <c r="N5" s="465">
        <v>2011</v>
      </c>
      <c r="O5" s="465">
        <v>2012</v>
      </c>
      <c r="P5" s="465">
        <v>2013</v>
      </c>
      <c r="Q5" s="470">
        <v>2008</v>
      </c>
      <c r="R5" s="252"/>
      <c r="S5" s="253"/>
      <c r="T5" s="254"/>
      <c r="U5" s="255"/>
      <c r="V5" s="503" t="s">
        <v>437</v>
      </c>
      <c r="W5" s="505" t="s">
        <v>438</v>
      </c>
      <c r="X5" s="505" t="s">
        <v>439</v>
      </c>
      <c r="Y5" s="507" t="s">
        <v>440</v>
      </c>
      <c r="Z5" s="509" t="s">
        <v>437</v>
      </c>
      <c r="AA5" s="511" t="s">
        <v>438</v>
      </c>
      <c r="AB5" s="511" t="s">
        <v>439</v>
      </c>
      <c r="AC5" s="511" t="s">
        <v>440</v>
      </c>
      <c r="AD5" s="256"/>
      <c r="AE5" s="256"/>
      <c r="AF5" s="257"/>
      <c r="AG5" s="257"/>
      <c r="AH5" s="258"/>
      <c r="AI5" s="258"/>
      <c r="AJ5" s="259"/>
      <c r="AK5" s="259"/>
      <c r="AL5" s="260"/>
      <c r="AM5" s="260"/>
      <c r="AN5" s="261"/>
      <c r="AO5" s="261"/>
      <c r="AP5" s="262"/>
      <c r="AQ5" s="262"/>
      <c r="AR5" s="263"/>
      <c r="AS5" s="263"/>
      <c r="AT5" s="260"/>
      <c r="AU5" s="260"/>
      <c r="AV5" s="261"/>
      <c r="AW5" s="261"/>
      <c r="AX5" s="256"/>
      <c r="AY5" s="256"/>
      <c r="AZ5" s="257"/>
      <c r="BA5" s="257"/>
      <c r="BB5" s="517" t="s">
        <v>437</v>
      </c>
      <c r="BC5" s="513" t="s">
        <v>438</v>
      </c>
      <c r="BD5" s="513" t="s">
        <v>439</v>
      </c>
      <c r="BE5" s="515" t="s">
        <v>440</v>
      </c>
    </row>
    <row r="6" spans="2:57" ht="35.25" customHeight="1">
      <c r="B6" s="474"/>
      <c r="C6" s="474"/>
      <c r="D6" s="477"/>
      <c r="E6" s="474"/>
      <c r="F6" s="485"/>
      <c r="G6" s="264" t="s">
        <v>123</v>
      </c>
      <c r="H6" s="466"/>
      <c r="I6" s="466"/>
      <c r="J6" s="466"/>
      <c r="K6" s="466"/>
      <c r="L6" s="466"/>
      <c r="M6" s="466"/>
      <c r="N6" s="466"/>
      <c r="O6" s="466"/>
      <c r="P6" s="466"/>
      <c r="Q6" s="471"/>
      <c r="R6" s="253" t="s">
        <v>437</v>
      </c>
      <c r="S6" s="253" t="s">
        <v>438</v>
      </c>
      <c r="T6" s="266" t="s">
        <v>439</v>
      </c>
      <c r="U6" s="267" t="s">
        <v>440</v>
      </c>
      <c r="V6" s="504"/>
      <c r="W6" s="506"/>
      <c r="X6" s="506"/>
      <c r="Y6" s="508"/>
      <c r="Z6" s="510"/>
      <c r="AA6" s="512"/>
      <c r="AB6" s="512"/>
      <c r="AC6" s="512"/>
      <c r="AD6" s="256" t="s">
        <v>437</v>
      </c>
      <c r="AE6" s="256" t="s">
        <v>438</v>
      </c>
      <c r="AF6" s="268" t="s">
        <v>439</v>
      </c>
      <c r="AG6" s="268" t="s">
        <v>440</v>
      </c>
      <c r="AH6" s="258" t="s">
        <v>437</v>
      </c>
      <c r="AI6" s="258" t="s">
        <v>438</v>
      </c>
      <c r="AJ6" s="269" t="s">
        <v>439</v>
      </c>
      <c r="AK6" s="269" t="s">
        <v>440</v>
      </c>
      <c r="AL6" s="260" t="s">
        <v>437</v>
      </c>
      <c r="AM6" s="260" t="s">
        <v>438</v>
      </c>
      <c r="AN6" s="270" t="s">
        <v>439</v>
      </c>
      <c r="AO6" s="270" t="s">
        <v>440</v>
      </c>
      <c r="AP6" s="262" t="s">
        <v>437</v>
      </c>
      <c r="AQ6" s="262" t="s">
        <v>438</v>
      </c>
      <c r="AR6" s="271" t="s">
        <v>439</v>
      </c>
      <c r="AS6" s="271" t="s">
        <v>440</v>
      </c>
      <c r="AT6" s="260" t="s">
        <v>437</v>
      </c>
      <c r="AU6" s="260" t="s">
        <v>438</v>
      </c>
      <c r="AV6" s="270" t="s">
        <v>439</v>
      </c>
      <c r="AW6" s="270" t="s">
        <v>440</v>
      </c>
      <c r="AX6" s="256" t="s">
        <v>437</v>
      </c>
      <c r="AY6" s="256" t="s">
        <v>438</v>
      </c>
      <c r="AZ6" s="268" t="s">
        <v>439</v>
      </c>
      <c r="BA6" s="268" t="s">
        <v>440</v>
      </c>
      <c r="BB6" s="518"/>
      <c r="BC6" s="514"/>
      <c r="BD6" s="514"/>
      <c r="BE6" s="516"/>
    </row>
    <row r="7" spans="2:57" ht="76.5" customHeight="1">
      <c r="B7" s="265">
        <v>1</v>
      </c>
      <c r="C7" s="272" t="s">
        <v>441</v>
      </c>
      <c r="D7" s="273" t="s">
        <v>442</v>
      </c>
      <c r="E7" s="274" t="s">
        <v>443</v>
      </c>
      <c r="F7" s="275">
        <f>H7+I7+G7</f>
        <v>11843057.679999998</v>
      </c>
      <c r="G7" s="276">
        <v>194381.1</v>
      </c>
      <c r="H7" s="276">
        <v>5905969.56</v>
      </c>
      <c r="I7" s="276">
        <v>5742707.02</v>
      </c>
      <c r="J7" s="277">
        <v>0</v>
      </c>
      <c r="K7" s="276">
        <v>0</v>
      </c>
      <c r="L7" s="276">
        <v>0</v>
      </c>
      <c r="M7" s="276">
        <v>0</v>
      </c>
      <c r="N7" s="276">
        <v>0</v>
      </c>
      <c r="O7" s="276">
        <v>0</v>
      </c>
      <c r="P7" s="276">
        <v>0</v>
      </c>
      <c r="Q7" s="276">
        <v>0</v>
      </c>
      <c r="R7" s="278">
        <v>176458.65</v>
      </c>
      <c r="S7" s="278">
        <v>5302781.22</v>
      </c>
      <c r="T7" s="278">
        <v>1600000</v>
      </c>
      <c r="U7" s="278">
        <v>707037.5</v>
      </c>
      <c r="V7" s="279">
        <f>1912062.01+10.28-647.45-1000000-50+200000</f>
        <v>1111374.84</v>
      </c>
      <c r="W7" s="279">
        <v>3380587.22</v>
      </c>
      <c r="X7" s="279">
        <v>800000</v>
      </c>
      <c r="Y7" s="279">
        <v>450744.97</v>
      </c>
      <c r="Z7" s="280">
        <v>0</v>
      </c>
      <c r="AA7" s="280">
        <v>0</v>
      </c>
      <c r="AB7" s="280">
        <v>0</v>
      </c>
      <c r="AC7" s="280">
        <v>0</v>
      </c>
      <c r="AD7" s="281"/>
      <c r="AE7" s="281"/>
      <c r="AF7" s="281"/>
      <c r="AG7" s="281"/>
      <c r="AH7" s="282"/>
      <c r="AI7" s="282"/>
      <c r="AJ7" s="282"/>
      <c r="AK7" s="282"/>
      <c r="AL7" s="280"/>
      <c r="AM7" s="280"/>
      <c r="AN7" s="280"/>
      <c r="AO7" s="280"/>
      <c r="AP7" s="279"/>
      <c r="AQ7" s="279"/>
      <c r="AR7" s="279"/>
      <c r="AS7" s="279"/>
      <c r="AT7" s="280"/>
      <c r="AU7" s="280"/>
      <c r="AV7" s="280"/>
      <c r="AW7" s="280"/>
      <c r="AX7" s="281"/>
      <c r="AY7" s="281"/>
      <c r="AZ7" s="281"/>
      <c r="BA7" s="281"/>
      <c r="BB7" s="281">
        <v>0</v>
      </c>
      <c r="BC7" s="278">
        <v>0</v>
      </c>
      <c r="BD7" s="278">
        <v>0</v>
      </c>
      <c r="BE7" s="278">
        <v>0</v>
      </c>
    </row>
    <row r="8" spans="2:57" ht="57" customHeight="1">
      <c r="B8" s="465">
        <v>2</v>
      </c>
      <c r="C8" s="37" t="s">
        <v>444</v>
      </c>
      <c r="D8" s="273" t="s">
        <v>442</v>
      </c>
      <c r="E8" s="274" t="s">
        <v>124</v>
      </c>
      <c r="F8" s="275">
        <v>3055000</v>
      </c>
      <c r="G8" s="276"/>
      <c r="H8" s="276">
        <v>0</v>
      </c>
      <c r="I8" s="276">
        <v>10000</v>
      </c>
      <c r="J8" s="276">
        <v>2045000</v>
      </c>
      <c r="K8" s="276">
        <v>0</v>
      </c>
      <c r="L8" s="276">
        <v>0</v>
      </c>
      <c r="M8" s="276">
        <v>0</v>
      </c>
      <c r="N8" s="276">
        <v>0</v>
      </c>
      <c r="O8" s="276">
        <v>0</v>
      </c>
      <c r="P8" s="276">
        <v>0</v>
      </c>
      <c r="Q8" s="276">
        <v>1000000</v>
      </c>
      <c r="R8" s="278">
        <v>0</v>
      </c>
      <c r="S8" s="278">
        <v>0</v>
      </c>
      <c r="T8" s="278">
        <v>0</v>
      </c>
      <c r="U8" s="278">
        <v>0</v>
      </c>
      <c r="V8" s="279">
        <v>10000</v>
      </c>
      <c r="W8" s="279">
        <v>0</v>
      </c>
      <c r="X8" s="279">
        <v>0</v>
      </c>
      <c r="Y8" s="279">
        <v>0</v>
      </c>
      <c r="Z8" s="280">
        <v>1045000</v>
      </c>
      <c r="AA8" s="280">
        <v>0</v>
      </c>
      <c r="AB8" s="280">
        <v>0</v>
      </c>
      <c r="AC8" s="280">
        <v>1000000</v>
      </c>
      <c r="AD8" s="281"/>
      <c r="AE8" s="281"/>
      <c r="AF8" s="281"/>
      <c r="AG8" s="281"/>
      <c r="AH8" s="282"/>
      <c r="AI8" s="282"/>
      <c r="AJ8" s="282"/>
      <c r="AK8" s="282"/>
      <c r="AL8" s="280"/>
      <c r="AM8" s="280"/>
      <c r="AN8" s="280"/>
      <c r="AO8" s="280"/>
      <c r="AP8" s="279"/>
      <c r="AQ8" s="279"/>
      <c r="AR8" s="279"/>
      <c r="AS8" s="279"/>
      <c r="AT8" s="280"/>
      <c r="AU8" s="280"/>
      <c r="AV8" s="280"/>
      <c r="AW8" s="280"/>
      <c r="AX8" s="281"/>
      <c r="AY8" s="281"/>
      <c r="AZ8" s="281"/>
      <c r="BA8" s="281"/>
      <c r="BB8" s="278">
        <v>600000</v>
      </c>
      <c r="BC8" s="278">
        <v>0</v>
      </c>
      <c r="BD8" s="278">
        <v>0</v>
      </c>
      <c r="BE8" s="278">
        <v>400000</v>
      </c>
    </row>
    <row r="9" spans="2:57" ht="72" customHeight="1">
      <c r="B9" s="466"/>
      <c r="C9" s="467" t="s">
        <v>34</v>
      </c>
      <c r="D9" s="468"/>
      <c r="E9" s="468"/>
      <c r="F9" s="468"/>
      <c r="G9" s="468"/>
      <c r="H9" s="468"/>
      <c r="I9" s="468"/>
      <c r="J9" s="468"/>
      <c r="K9" s="468"/>
      <c r="L9" s="468"/>
      <c r="M9" s="468"/>
      <c r="N9" s="468"/>
      <c r="O9" s="468"/>
      <c r="P9" s="468"/>
      <c r="Q9" s="469"/>
      <c r="R9" s="278"/>
      <c r="S9" s="278"/>
      <c r="T9" s="278"/>
      <c r="U9" s="278"/>
      <c r="V9" s="279"/>
      <c r="W9" s="279"/>
      <c r="X9" s="279"/>
      <c r="Y9" s="279"/>
      <c r="Z9" s="280"/>
      <c r="AA9" s="280"/>
      <c r="AB9" s="280"/>
      <c r="AC9" s="280"/>
      <c r="AD9" s="281"/>
      <c r="AE9" s="281"/>
      <c r="AF9" s="281"/>
      <c r="AG9" s="281"/>
      <c r="AH9" s="282"/>
      <c r="AI9" s="282"/>
      <c r="AJ9" s="282"/>
      <c r="AK9" s="282"/>
      <c r="AL9" s="280"/>
      <c r="AM9" s="280"/>
      <c r="AN9" s="280"/>
      <c r="AO9" s="280"/>
      <c r="AP9" s="279"/>
      <c r="AQ9" s="279"/>
      <c r="AR9" s="279"/>
      <c r="AS9" s="279"/>
      <c r="AT9" s="280"/>
      <c r="AU9" s="280"/>
      <c r="AV9" s="280"/>
      <c r="AW9" s="280"/>
      <c r="AX9" s="281"/>
      <c r="AY9" s="281"/>
      <c r="AZ9" s="281"/>
      <c r="BA9" s="281"/>
      <c r="BB9" s="278"/>
      <c r="BC9" s="278"/>
      <c r="BD9" s="278"/>
      <c r="BE9" s="278"/>
    </row>
    <row r="10" spans="2:57" ht="67.5" customHeight="1">
      <c r="B10" s="470">
        <f>B8+1</f>
        <v>3</v>
      </c>
      <c r="C10" s="283" t="s">
        <v>125</v>
      </c>
      <c r="D10" s="273" t="s">
        <v>442</v>
      </c>
      <c r="E10" s="284" t="s">
        <v>443</v>
      </c>
      <c r="F10" s="275">
        <v>444479</v>
      </c>
      <c r="G10" s="276"/>
      <c r="H10" s="276">
        <v>307991</v>
      </c>
      <c r="I10" s="276">
        <v>136488</v>
      </c>
      <c r="J10" s="276">
        <v>0</v>
      </c>
      <c r="K10" s="276"/>
      <c r="L10" s="276"/>
      <c r="M10" s="276"/>
      <c r="N10" s="276"/>
      <c r="O10" s="276"/>
      <c r="P10" s="276"/>
      <c r="Q10" s="276">
        <v>0</v>
      </c>
      <c r="R10" s="278">
        <v>50000</v>
      </c>
      <c r="S10" s="278">
        <v>0</v>
      </c>
      <c r="T10" s="278">
        <v>0</v>
      </c>
      <c r="U10" s="278">
        <v>200000</v>
      </c>
      <c r="V10" s="279">
        <v>136488</v>
      </c>
      <c r="W10" s="279">
        <v>0</v>
      </c>
      <c r="X10" s="279">
        <v>0</v>
      </c>
      <c r="Y10" s="279">
        <v>0</v>
      </c>
      <c r="Z10" s="280">
        <v>0</v>
      </c>
      <c r="AA10" s="280">
        <v>0</v>
      </c>
      <c r="AB10" s="280">
        <v>0</v>
      </c>
      <c r="AC10" s="280">
        <v>0</v>
      </c>
      <c r="AD10" s="281"/>
      <c r="AE10" s="281"/>
      <c r="AF10" s="281"/>
      <c r="AG10" s="281"/>
      <c r="AH10" s="282"/>
      <c r="AI10" s="282"/>
      <c r="AJ10" s="282"/>
      <c r="AK10" s="282"/>
      <c r="AL10" s="280"/>
      <c r="AM10" s="280"/>
      <c r="AN10" s="280"/>
      <c r="AO10" s="280"/>
      <c r="AP10" s="279"/>
      <c r="AQ10" s="279"/>
      <c r="AR10" s="279"/>
      <c r="AS10" s="279"/>
      <c r="AT10" s="280"/>
      <c r="AU10" s="280"/>
      <c r="AV10" s="280"/>
      <c r="AW10" s="280"/>
      <c r="AX10" s="281"/>
      <c r="AY10" s="281"/>
      <c r="AZ10" s="281"/>
      <c r="BA10" s="281"/>
      <c r="BB10" s="281">
        <v>0</v>
      </c>
      <c r="BC10" s="278">
        <v>0</v>
      </c>
      <c r="BD10" s="278">
        <v>0</v>
      </c>
      <c r="BE10" s="278">
        <v>0</v>
      </c>
    </row>
    <row r="11" spans="2:57" ht="41.25" customHeight="1">
      <c r="B11" s="471"/>
      <c r="C11" s="468" t="s">
        <v>35</v>
      </c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9"/>
      <c r="R11" s="278"/>
      <c r="S11" s="278"/>
      <c r="T11" s="278"/>
      <c r="U11" s="278"/>
      <c r="V11" s="279"/>
      <c r="W11" s="279"/>
      <c r="X11" s="279"/>
      <c r="Y11" s="279"/>
      <c r="Z11" s="280"/>
      <c r="AA11" s="280"/>
      <c r="AB11" s="280"/>
      <c r="AC11" s="280"/>
      <c r="AD11" s="281"/>
      <c r="AE11" s="281"/>
      <c r="AF11" s="281"/>
      <c r="AG11" s="281"/>
      <c r="AH11" s="282"/>
      <c r="AI11" s="282"/>
      <c r="AJ11" s="282"/>
      <c r="AK11" s="282"/>
      <c r="AL11" s="280"/>
      <c r="AM11" s="280"/>
      <c r="AN11" s="280"/>
      <c r="AO11" s="280"/>
      <c r="AP11" s="279"/>
      <c r="AQ11" s="279"/>
      <c r="AR11" s="279"/>
      <c r="AS11" s="279"/>
      <c r="AT11" s="280"/>
      <c r="AU11" s="280"/>
      <c r="AV11" s="280"/>
      <c r="AW11" s="280"/>
      <c r="AX11" s="281"/>
      <c r="AY11" s="281"/>
      <c r="AZ11" s="281"/>
      <c r="BA11" s="281"/>
      <c r="BB11" s="281"/>
      <c r="BC11" s="278"/>
      <c r="BD11" s="278"/>
      <c r="BE11" s="278"/>
    </row>
    <row r="12" spans="2:57" ht="59.25" customHeight="1">
      <c r="B12" s="465">
        <f>B10+1</f>
        <v>4</v>
      </c>
      <c r="C12" s="285" t="s">
        <v>445</v>
      </c>
      <c r="D12" s="273" t="s">
        <v>442</v>
      </c>
      <c r="E12" s="274" t="s">
        <v>446</v>
      </c>
      <c r="F12" s="275">
        <v>1215808</v>
      </c>
      <c r="G12" s="276">
        <v>9930.8</v>
      </c>
      <c r="H12" s="276">
        <v>25540</v>
      </c>
      <c r="I12" s="276">
        <v>31300</v>
      </c>
      <c r="J12" s="276">
        <v>200000</v>
      </c>
      <c r="K12" s="276">
        <v>200000</v>
      </c>
      <c r="L12" s="276">
        <v>550342</v>
      </c>
      <c r="M12" s="276">
        <v>0</v>
      </c>
      <c r="N12" s="276">
        <v>0</v>
      </c>
      <c r="O12" s="276">
        <v>0</v>
      </c>
      <c r="P12" s="276">
        <v>0</v>
      </c>
      <c r="Q12" s="276">
        <v>64529</v>
      </c>
      <c r="R12" s="278">
        <v>26540</v>
      </c>
      <c r="S12" s="278">
        <v>0</v>
      </c>
      <c r="T12" s="278">
        <v>0</v>
      </c>
      <c r="U12" s="286">
        <v>0</v>
      </c>
      <c r="V12" s="279">
        <v>31300</v>
      </c>
      <c r="W12" s="279">
        <v>0</v>
      </c>
      <c r="X12" s="279">
        <v>0</v>
      </c>
      <c r="Y12" s="279">
        <v>0</v>
      </c>
      <c r="Z12" s="280">
        <v>150000</v>
      </c>
      <c r="AA12" s="280">
        <v>0</v>
      </c>
      <c r="AB12" s="280">
        <v>0</v>
      </c>
      <c r="AC12" s="280">
        <v>50000</v>
      </c>
      <c r="AD12" s="281"/>
      <c r="AE12" s="281"/>
      <c r="AF12" s="281"/>
      <c r="AG12" s="281"/>
      <c r="AH12" s="282"/>
      <c r="AI12" s="282"/>
      <c r="AJ12" s="282"/>
      <c r="AK12" s="282"/>
      <c r="AL12" s="280"/>
      <c r="AM12" s="280"/>
      <c r="AN12" s="280"/>
      <c r="AO12" s="280"/>
      <c r="AP12" s="279"/>
      <c r="AQ12" s="279"/>
      <c r="AR12" s="279"/>
      <c r="AS12" s="279"/>
      <c r="AT12" s="280"/>
      <c r="AU12" s="280"/>
      <c r="AV12" s="280"/>
      <c r="AW12" s="280"/>
      <c r="AX12" s="281"/>
      <c r="AY12" s="281"/>
      <c r="AZ12" s="281"/>
      <c r="BA12" s="281"/>
      <c r="BB12" s="281">
        <v>64529</v>
      </c>
      <c r="BC12" s="278">
        <v>0</v>
      </c>
      <c r="BD12" s="278">
        <v>0</v>
      </c>
      <c r="BE12" s="286">
        <v>0</v>
      </c>
    </row>
    <row r="13" spans="2:57" ht="33" customHeight="1">
      <c r="B13" s="466"/>
      <c r="C13" s="467" t="s">
        <v>36</v>
      </c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9"/>
      <c r="R13" s="278"/>
      <c r="S13" s="278"/>
      <c r="T13" s="278"/>
      <c r="U13" s="286"/>
      <c r="V13" s="279"/>
      <c r="W13" s="279"/>
      <c r="X13" s="279"/>
      <c r="Y13" s="279"/>
      <c r="Z13" s="280"/>
      <c r="AA13" s="280"/>
      <c r="AB13" s="280"/>
      <c r="AC13" s="280"/>
      <c r="AD13" s="281"/>
      <c r="AE13" s="281"/>
      <c r="AF13" s="281"/>
      <c r="AG13" s="281"/>
      <c r="AH13" s="282"/>
      <c r="AI13" s="282"/>
      <c r="AJ13" s="282"/>
      <c r="AK13" s="282"/>
      <c r="AL13" s="280"/>
      <c r="AM13" s="280"/>
      <c r="AN13" s="280"/>
      <c r="AO13" s="280"/>
      <c r="AP13" s="279"/>
      <c r="AQ13" s="279"/>
      <c r="AR13" s="279"/>
      <c r="AS13" s="279"/>
      <c r="AT13" s="280"/>
      <c r="AU13" s="280"/>
      <c r="AV13" s="280"/>
      <c r="AW13" s="280"/>
      <c r="AX13" s="281"/>
      <c r="AY13" s="281"/>
      <c r="AZ13" s="281"/>
      <c r="BA13" s="281"/>
      <c r="BB13" s="281"/>
      <c r="BC13" s="278"/>
      <c r="BD13" s="278"/>
      <c r="BE13" s="286"/>
    </row>
    <row r="14" spans="1:57" s="293" customFormat="1" ht="51">
      <c r="A14" s="287"/>
      <c r="B14" s="265">
        <f>B12+1</f>
        <v>5</v>
      </c>
      <c r="C14" s="289" t="s">
        <v>447</v>
      </c>
      <c r="D14" s="290" t="s">
        <v>442</v>
      </c>
      <c r="E14" s="284" t="s">
        <v>448</v>
      </c>
      <c r="F14" s="291">
        <f>H14+I14+J14+K14+L14+M14+G14</f>
        <v>1128063.2</v>
      </c>
      <c r="G14" s="292">
        <v>18250.2</v>
      </c>
      <c r="H14" s="292">
        <v>27349</v>
      </c>
      <c r="I14" s="292">
        <v>15000</v>
      </c>
      <c r="J14" s="292">
        <v>40000</v>
      </c>
      <c r="K14" s="292">
        <v>200000</v>
      </c>
      <c r="L14" s="292">
        <v>380000</v>
      </c>
      <c r="M14" s="292">
        <v>447464</v>
      </c>
      <c r="N14" s="292">
        <v>0</v>
      </c>
      <c r="O14" s="292">
        <v>0</v>
      </c>
      <c r="P14" s="292">
        <v>0</v>
      </c>
      <c r="Q14" s="292">
        <v>60000</v>
      </c>
      <c r="R14" s="292">
        <v>27349</v>
      </c>
      <c r="S14" s="292">
        <v>0</v>
      </c>
      <c r="T14" s="292">
        <v>0</v>
      </c>
      <c r="U14" s="292">
        <v>0</v>
      </c>
      <c r="V14" s="279">
        <v>15000</v>
      </c>
      <c r="W14" s="279">
        <v>0</v>
      </c>
      <c r="X14" s="279">
        <v>0</v>
      </c>
      <c r="Y14" s="279">
        <v>0</v>
      </c>
      <c r="Z14" s="280">
        <v>40000</v>
      </c>
      <c r="AA14" s="280">
        <v>0</v>
      </c>
      <c r="AB14" s="280">
        <v>0</v>
      </c>
      <c r="AC14" s="280">
        <v>0</v>
      </c>
      <c r="AD14" s="292"/>
      <c r="AE14" s="292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81">
        <v>60000</v>
      </c>
      <c r="BC14" s="281">
        <v>0</v>
      </c>
      <c r="BD14" s="281">
        <v>0</v>
      </c>
      <c r="BE14" s="281">
        <v>0</v>
      </c>
    </row>
    <row r="15" spans="1:57" s="293" customFormat="1" ht="30.75" customHeight="1">
      <c r="A15" s="287"/>
      <c r="B15" s="265"/>
      <c r="C15" s="467" t="s">
        <v>37</v>
      </c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9"/>
      <c r="R15" s="292"/>
      <c r="S15" s="292"/>
      <c r="T15" s="292"/>
      <c r="U15" s="292"/>
      <c r="V15" s="279"/>
      <c r="W15" s="279"/>
      <c r="X15" s="279"/>
      <c r="Y15" s="279"/>
      <c r="Z15" s="280"/>
      <c r="AA15" s="280"/>
      <c r="AB15" s="280"/>
      <c r="AC15" s="280"/>
      <c r="AD15" s="292"/>
      <c r="AE15" s="292"/>
      <c r="AF15" s="292"/>
      <c r="AG15" s="292"/>
      <c r="AH15" s="292"/>
      <c r="AI15" s="292"/>
      <c r="AJ15" s="292"/>
      <c r="AK15" s="292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81"/>
      <c r="BC15" s="281"/>
      <c r="BD15" s="281"/>
      <c r="BE15" s="281"/>
    </row>
    <row r="16" spans="1:57" ht="51.75" customHeight="1">
      <c r="A16" s="237"/>
      <c r="B16" s="465">
        <f>B14+1</f>
        <v>6</v>
      </c>
      <c r="C16" s="285" t="s">
        <v>449</v>
      </c>
      <c r="D16" s="273" t="s">
        <v>442</v>
      </c>
      <c r="E16" s="274" t="s">
        <v>450</v>
      </c>
      <c r="F16" s="275">
        <v>269348</v>
      </c>
      <c r="G16" s="276">
        <v>4026</v>
      </c>
      <c r="H16" s="276" t="s">
        <v>126</v>
      </c>
      <c r="I16" s="276">
        <v>25000</v>
      </c>
      <c r="J16" s="276">
        <v>6000</v>
      </c>
      <c r="K16" s="276">
        <v>242300</v>
      </c>
      <c r="L16" s="276"/>
      <c r="M16" s="276"/>
      <c r="N16" s="276"/>
      <c r="O16" s="276"/>
      <c r="P16" s="276"/>
      <c r="Q16" s="276">
        <v>25000</v>
      </c>
      <c r="R16" s="278">
        <v>8000</v>
      </c>
      <c r="S16" s="278">
        <v>0</v>
      </c>
      <c r="T16" s="278">
        <v>0</v>
      </c>
      <c r="U16" s="278">
        <v>0</v>
      </c>
      <c r="V16" s="279">
        <v>25000</v>
      </c>
      <c r="W16" s="279">
        <v>0</v>
      </c>
      <c r="X16" s="279">
        <v>0</v>
      </c>
      <c r="Y16" s="279">
        <v>0</v>
      </c>
      <c r="Z16" s="280">
        <v>6000</v>
      </c>
      <c r="AA16" s="280">
        <v>0</v>
      </c>
      <c r="AB16" s="280">
        <v>0</v>
      </c>
      <c r="AC16" s="280">
        <v>0</v>
      </c>
      <c r="AD16" s="281"/>
      <c r="AE16" s="281"/>
      <c r="AF16" s="281"/>
      <c r="AG16" s="281"/>
      <c r="AH16" s="282"/>
      <c r="AI16" s="282"/>
      <c r="AJ16" s="282"/>
      <c r="AK16" s="282"/>
      <c r="AL16" s="280"/>
      <c r="AM16" s="280"/>
      <c r="AN16" s="280"/>
      <c r="AO16" s="280"/>
      <c r="AP16" s="279"/>
      <c r="AQ16" s="279"/>
      <c r="AR16" s="279"/>
      <c r="AS16" s="279"/>
      <c r="AT16" s="280"/>
      <c r="AU16" s="280"/>
      <c r="AV16" s="280"/>
      <c r="AW16" s="280"/>
      <c r="AX16" s="281"/>
      <c r="AY16" s="281"/>
      <c r="AZ16" s="281"/>
      <c r="BA16" s="281"/>
      <c r="BB16" s="281">
        <v>25000</v>
      </c>
      <c r="BC16" s="278">
        <v>0</v>
      </c>
      <c r="BD16" s="278">
        <v>0</v>
      </c>
      <c r="BE16" s="278">
        <v>0</v>
      </c>
    </row>
    <row r="17" spans="1:57" ht="34.5" customHeight="1">
      <c r="A17" s="237"/>
      <c r="B17" s="466"/>
      <c r="C17" s="467" t="s">
        <v>38</v>
      </c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9"/>
      <c r="R17" s="278"/>
      <c r="S17" s="278"/>
      <c r="T17" s="278"/>
      <c r="U17" s="278"/>
      <c r="V17" s="279"/>
      <c r="W17" s="279"/>
      <c r="X17" s="279"/>
      <c r="Y17" s="279"/>
      <c r="Z17" s="280"/>
      <c r="AA17" s="280"/>
      <c r="AB17" s="280"/>
      <c r="AC17" s="280"/>
      <c r="AD17" s="281"/>
      <c r="AE17" s="281"/>
      <c r="AF17" s="281"/>
      <c r="AG17" s="281"/>
      <c r="AH17" s="282"/>
      <c r="AI17" s="282"/>
      <c r="AJ17" s="282"/>
      <c r="AK17" s="282"/>
      <c r="AL17" s="280"/>
      <c r="AM17" s="280"/>
      <c r="AN17" s="280"/>
      <c r="AO17" s="280"/>
      <c r="AP17" s="279"/>
      <c r="AQ17" s="279"/>
      <c r="AR17" s="279"/>
      <c r="AS17" s="279"/>
      <c r="AT17" s="280"/>
      <c r="AU17" s="280"/>
      <c r="AV17" s="280"/>
      <c r="AW17" s="280"/>
      <c r="AX17" s="281"/>
      <c r="AY17" s="281"/>
      <c r="AZ17" s="281"/>
      <c r="BA17" s="281"/>
      <c r="BB17" s="281"/>
      <c r="BC17" s="278"/>
      <c r="BD17" s="278"/>
      <c r="BE17" s="278"/>
    </row>
    <row r="18" spans="2:57" ht="48" customHeight="1">
      <c r="B18" s="265">
        <f>B16+1</f>
        <v>7</v>
      </c>
      <c r="C18" s="285" t="s">
        <v>451</v>
      </c>
      <c r="D18" s="273" t="s">
        <v>442</v>
      </c>
      <c r="E18" s="274" t="s">
        <v>452</v>
      </c>
      <c r="F18" s="275">
        <v>1800000</v>
      </c>
      <c r="G18" s="276">
        <v>2453</v>
      </c>
      <c r="H18" s="276" t="s">
        <v>126</v>
      </c>
      <c r="I18" s="292">
        <v>40000</v>
      </c>
      <c r="J18" s="292">
        <v>200000</v>
      </c>
      <c r="K18" s="280"/>
      <c r="L18" s="280"/>
      <c r="M18" s="280"/>
      <c r="N18" s="280"/>
      <c r="O18" s="280"/>
      <c r="P18" s="280"/>
      <c r="Q18" s="292">
        <v>180000</v>
      </c>
      <c r="R18" s="278">
        <v>35000</v>
      </c>
      <c r="S18" s="278">
        <v>0</v>
      </c>
      <c r="T18" s="278">
        <v>0</v>
      </c>
      <c r="U18" s="278">
        <v>0</v>
      </c>
      <c r="V18" s="279">
        <v>40000</v>
      </c>
      <c r="W18" s="279">
        <v>0</v>
      </c>
      <c r="X18" s="279">
        <v>0</v>
      </c>
      <c r="Y18" s="279">
        <v>0</v>
      </c>
      <c r="Z18" s="280">
        <v>200000</v>
      </c>
      <c r="AA18" s="280">
        <v>0</v>
      </c>
      <c r="AB18" s="280">
        <v>0</v>
      </c>
      <c r="AC18" s="280">
        <v>0</v>
      </c>
      <c r="AD18" s="281"/>
      <c r="AE18" s="281"/>
      <c r="AF18" s="281"/>
      <c r="AG18" s="281"/>
      <c r="AH18" s="282"/>
      <c r="AI18" s="282"/>
      <c r="AJ18" s="282"/>
      <c r="AK18" s="282"/>
      <c r="AL18" s="280"/>
      <c r="AM18" s="280"/>
      <c r="AN18" s="280"/>
      <c r="AO18" s="280"/>
      <c r="AP18" s="279"/>
      <c r="AQ18" s="279"/>
      <c r="AR18" s="279"/>
      <c r="AS18" s="279"/>
      <c r="AT18" s="280"/>
      <c r="AU18" s="280"/>
      <c r="AV18" s="280"/>
      <c r="AW18" s="280"/>
      <c r="AX18" s="281"/>
      <c r="AY18" s="281"/>
      <c r="AZ18" s="281"/>
      <c r="BA18" s="281"/>
      <c r="BB18" s="281">
        <v>180000</v>
      </c>
      <c r="BC18" s="278">
        <v>0</v>
      </c>
      <c r="BD18" s="278">
        <v>0</v>
      </c>
      <c r="BE18" s="278">
        <v>0</v>
      </c>
    </row>
    <row r="19" spans="2:57" ht="48" customHeight="1">
      <c r="B19" s="265"/>
      <c r="C19" s="467" t="s">
        <v>39</v>
      </c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9"/>
      <c r="R19" s="278"/>
      <c r="S19" s="278"/>
      <c r="T19" s="278"/>
      <c r="U19" s="278"/>
      <c r="V19" s="279"/>
      <c r="W19" s="279"/>
      <c r="X19" s="279"/>
      <c r="Y19" s="279"/>
      <c r="Z19" s="280"/>
      <c r="AA19" s="280"/>
      <c r="AB19" s="280"/>
      <c r="AC19" s="280"/>
      <c r="AD19" s="281"/>
      <c r="AE19" s="281"/>
      <c r="AF19" s="281"/>
      <c r="AG19" s="281"/>
      <c r="AH19" s="282"/>
      <c r="AI19" s="282"/>
      <c r="AJ19" s="282"/>
      <c r="AK19" s="282"/>
      <c r="AL19" s="280"/>
      <c r="AM19" s="280"/>
      <c r="AN19" s="280"/>
      <c r="AO19" s="280"/>
      <c r="AP19" s="279"/>
      <c r="AQ19" s="279"/>
      <c r="AR19" s="279"/>
      <c r="AS19" s="279"/>
      <c r="AT19" s="280"/>
      <c r="AU19" s="280"/>
      <c r="AV19" s="280"/>
      <c r="AW19" s="280"/>
      <c r="AX19" s="281"/>
      <c r="AY19" s="281"/>
      <c r="AZ19" s="281"/>
      <c r="BA19" s="281"/>
      <c r="BB19" s="281"/>
      <c r="BC19" s="278"/>
      <c r="BD19" s="278"/>
      <c r="BE19" s="278"/>
    </row>
    <row r="20" spans="2:57" ht="81" customHeight="1">
      <c r="B20" s="265">
        <f>B18+1</f>
        <v>8</v>
      </c>
      <c r="C20" s="285" t="s">
        <v>453</v>
      </c>
      <c r="D20" s="273" t="s">
        <v>442</v>
      </c>
      <c r="E20" s="274" t="s">
        <v>454</v>
      </c>
      <c r="F20" s="275">
        <f>G20+H20+I20+J20+K20+L20+M20+N20+O20+P20</f>
        <v>16160000</v>
      </c>
      <c r="G20" s="276">
        <v>0</v>
      </c>
      <c r="H20" s="276">
        <v>0</v>
      </c>
      <c r="I20" s="276">
        <v>0</v>
      </c>
      <c r="J20" s="276">
        <v>160000</v>
      </c>
      <c r="K20" s="276">
        <v>3900000</v>
      </c>
      <c r="L20" s="276">
        <v>1200000</v>
      </c>
      <c r="M20" s="276">
        <v>5450000</v>
      </c>
      <c r="N20" s="276">
        <v>5450000</v>
      </c>
      <c r="O20" s="276">
        <v>0</v>
      </c>
      <c r="P20" s="276">
        <v>0</v>
      </c>
      <c r="Q20" s="276">
        <v>160000</v>
      </c>
      <c r="R20" s="278">
        <v>0</v>
      </c>
      <c r="S20" s="278">
        <v>0</v>
      </c>
      <c r="T20" s="278">
        <v>0</v>
      </c>
      <c r="U20" s="278">
        <v>0</v>
      </c>
      <c r="V20" s="279">
        <v>0</v>
      </c>
      <c r="W20" s="279">
        <v>0</v>
      </c>
      <c r="X20" s="279">
        <v>0</v>
      </c>
      <c r="Y20" s="279">
        <v>0</v>
      </c>
      <c r="Z20" s="280">
        <v>160000</v>
      </c>
      <c r="AA20" s="280">
        <v>0</v>
      </c>
      <c r="AB20" s="280">
        <v>0</v>
      </c>
      <c r="AC20" s="280">
        <v>0</v>
      </c>
      <c r="AD20" s="281"/>
      <c r="AE20" s="281"/>
      <c r="AF20" s="281"/>
      <c r="AG20" s="281"/>
      <c r="AH20" s="282"/>
      <c r="AI20" s="282"/>
      <c r="AJ20" s="282"/>
      <c r="AK20" s="282"/>
      <c r="AL20" s="280"/>
      <c r="AM20" s="280"/>
      <c r="AN20" s="280"/>
      <c r="AO20" s="280"/>
      <c r="AP20" s="279"/>
      <c r="AQ20" s="279"/>
      <c r="AR20" s="279"/>
      <c r="AS20" s="279"/>
      <c r="AT20" s="280"/>
      <c r="AU20" s="280"/>
      <c r="AV20" s="280"/>
      <c r="AW20" s="280"/>
      <c r="AX20" s="281"/>
      <c r="AY20" s="281"/>
      <c r="AZ20" s="281"/>
      <c r="BA20" s="281"/>
      <c r="BB20" s="281">
        <v>160000</v>
      </c>
      <c r="BC20" s="278">
        <v>0</v>
      </c>
      <c r="BD20" s="278">
        <v>0</v>
      </c>
      <c r="BE20" s="278">
        <v>0</v>
      </c>
    </row>
    <row r="21" spans="2:57" ht="81" customHeight="1">
      <c r="B21" s="465">
        <f>B20+1</f>
        <v>9</v>
      </c>
      <c r="C21" s="285" t="s">
        <v>455</v>
      </c>
      <c r="D21" s="273" t="s">
        <v>442</v>
      </c>
      <c r="E21" s="274" t="s">
        <v>127</v>
      </c>
      <c r="F21" s="275">
        <v>3170000</v>
      </c>
      <c r="G21" s="276">
        <v>0</v>
      </c>
      <c r="H21" s="276">
        <v>0</v>
      </c>
      <c r="I21" s="276">
        <v>0</v>
      </c>
      <c r="J21" s="276">
        <v>0</v>
      </c>
      <c r="K21" s="276"/>
      <c r="L21" s="276"/>
      <c r="M21" s="276"/>
      <c r="N21" s="276"/>
      <c r="O21" s="276"/>
      <c r="P21" s="276"/>
      <c r="Q21" s="276">
        <v>150000</v>
      </c>
      <c r="R21" s="278">
        <v>0</v>
      </c>
      <c r="S21" s="278">
        <v>0</v>
      </c>
      <c r="T21" s="278">
        <v>0</v>
      </c>
      <c r="U21" s="278">
        <v>0</v>
      </c>
      <c r="V21" s="279">
        <v>0</v>
      </c>
      <c r="W21" s="279">
        <v>0</v>
      </c>
      <c r="X21" s="279">
        <v>0</v>
      </c>
      <c r="Y21" s="279">
        <v>0</v>
      </c>
      <c r="Z21" s="280">
        <v>0</v>
      </c>
      <c r="AA21" s="280">
        <v>0</v>
      </c>
      <c r="AB21" s="280">
        <v>0</v>
      </c>
      <c r="AC21" s="280">
        <v>0</v>
      </c>
      <c r="AD21" s="281"/>
      <c r="AE21" s="281"/>
      <c r="AF21" s="281"/>
      <c r="AG21" s="281"/>
      <c r="AH21" s="282"/>
      <c r="AI21" s="282"/>
      <c r="AJ21" s="282"/>
      <c r="AK21" s="282"/>
      <c r="AL21" s="280"/>
      <c r="AM21" s="280"/>
      <c r="AN21" s="280"/>
      <c r="AO21" s="280"/>
      <c r="AP21" s="279"/>
      <c r="AQ21" s="279"/>
      <c r="AR21" s="279"/>
      <c r="AS21" s="279"/>
      <c r="AT21" s="280"/>
      <c r="AU21" s="280"/>
      <c r="AV21" s="280"/>
      <c r="AW21" s="280"/>
      <c r="AX21" s="281"/>
      <c r="AY21" s="281"/>
      <c r="AZ21" s="281"/>
      <c r="BA21" s="281"/>
      <c r="BB21" s="281">
        <v>150000</v>
      </c>
      <c r="BC21" s="278">
        <v>0</v>
      </c>
      <c r="BD21" s="278">
        <v>0</v>
      </c>
      <c r="BE21" s="278">
        <v>0</v>
      </c>
    </row>
    <row r="22" spans="2:57" ht="20.25" customHeight="1">
      <c r="B22" s="466"/>
      <c r="C22" s="467" t="s">
        <v>40</v>
      </c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9"/>
      <c r="R22" s="278"/>
      <c r="S22" s="278"/>
      <c r="T22" s="278"/>
      <c r="U22" s="278"/>
      <c r="V22" s="279"/>
      <c r="W22" s="279"/>
      <c r="X22" s="279"/>
      <c r="Y22" s="279"/>
      <c r="Z22" s="280"/>
      <c r="AA22" s="280"/>
      <c r="AB22" s="280"/>
      <c r="AC22" s="280"/>
      <c r="AD22" s="281"/>
      <c r="AE22" s="281"/>
      <c r="AF22" s="281"/>
      <c r="AG22" s="281"/>
      <c r="AH22" s="282"/>
      <c r="AI22" s="282"/>
      <c r="AJ22" s="282"/>
      <c r="AK22" s="282"/>
      <c r="AL22" s="280"/>
      <c r="AM22" s="280"/>
      <c r="AN22" s="280"/>
      <c r="AO22" s="280"/>
      <c r="AP22" s="279"/>
      <c r="AQ22" s="279"/>
      <c r="AR22" s="279"/>
      <c r="AS22" s="279"/>
      <c r="AT22" s="280"/>
      <c r="AU22" s="280"/>
      <c r="AV22" s="280"/>
      <c r="AW22" s="280"/>
      <c r="AX22" s="281"/>
      <c r="AY22" s="281"/>
      <c r="AZ22" s="281"/>
      <c r="BA22" s="281"/>
      <c r="BB22" s="281"/>
      <c r="BC22" s="278"/>
      <c r="BD22" s="278"/>
      <c r="BE22" s="278"/>
    </row>
    <row r="23" spans="2:57" ht="36.75" customHeight="1">
      <c r="B23" s="264">
        <f>B21+1</f>
        <v>10</v>
      </c>
      <c r="C23" s="294" t="s">
        <v>457</v>
      </c>
      <c r="D23" s="273" t="s">
        <v>442</v>
      </c>
      <c r="E23" s="274" t="s">
        <v>458</v>
      </c>
      <c r="F23" s="275">
        <v>9400000</v>
      </c>
      <c r="G23" s="276"/>
      <c r="H23" s="276">
        <v>238300</v>
      </c>
      <c r="I23" s="276">
        <v>35000</v>
      </c>
      <c r="J23" s="276">
        <f>35850+35000</f>
        <v>70850</v>
      </c>
      <c r="K23" s="276">
        <v>760000</v>
      </c>
      <c r="L23" s="276">
        <v>2280000</v>
      </c>
      <c r="M23" s="276">
        <v>1900000</v>
      </c>
      <c r="N23" s="276">
        <v>1280000</v>
      </c>
      <c r="O23" s="276">
        <v>800000</v>
      </c>
      <c r="P23" s="276">
        <v>640000</v>
      </c>
      <c r="Q23" s="276">
        <v>700000</v>
      </c>
      <c r="R23" s="278">
        <v>54700</v>
      </c>
      <c r="S23" s="278"/>
      <c r="T23" s="278"/>
      <c r="U23" s="278">
        <v>96300</v>
      </c>
      <c r="V23" s="279">
        <v>35000</v>
      </c>
      <c r="W23" s="279">
        <v>0</v>
      </c>
      <c r="X23" s="279">
        <v>0</v>
      </c>
      <c r="Y23" s="279">
        <v>0</v>
      </c>
      <c r="Z23" s="280">
        <v>70850</v>
      </c>
      <c r="AA23" s="280">
        <v>0</v>
      </c>
      <c r="AB23" s="280">
        <v>0</v>
      </c>
      <c r="AC23" s="280">
        <v>0</v>
      </c>
      <c r="AD23" s="281"/>
      <c r="AE23" s="281"/>
      <c r="AF23" s="281"/>
      <c r="AG23" s="281"/>
      <c r="AH23" s="282"/>
      <c r="AI23" s="282"/>
      <c r="AJ23" s="282"/>
      <c r="AK23" s="282"/>
      <c r="AL23" s="280"/>
      <c r="AM23" s="280"/>
      <c r="AN23" s="280"/>
      <c r="AO23" s="280"/>
      <c r="AP23" s="279"/>
      <c r="AQ23" s="279"/>
      <c r="AR23" s="279"/>
      <c r="AS23" s="279"/>
      <c r="AT23" s="280"/>
      <c r="AU23" s="280"/>
      <c r="AV23" s="280"/>
      <c r="AW23" s="280"/>
      <c r="AX23" s="281"/>
      <c r="AY23" s="281"/>
      <c r="AZ23" s="281"/>
      <c r="BA23" s="281"/>
      <c r="BB23" s="281">
        <v>700000</v>
      </c>
      <c r="BC23" s="278">
        <v>0</v>
      </c>
      <c r="BD23" s="278">
        <v>0</v>
      </c>
      <c r="BE23" s="278">
        <v>0</v>
      </c>
    </row>
    <row r="24" spans="2:57" ht="74.25" customHeight="1">
      <c r="B24" s="465">
        <f>B23+1</f>
        <v>11</v>
      </c>
      <c r="C24" s="37" t="s">
        <v>456</v>
      </c>
      <c r="D24" s="273" t="s">
        <v>442</v>
      </c>
      <c r="E24" s="274" t="s">
        <v>128</v>
      </c>
      <c r="F24" s="275">
        <v>1645000</v>
      </c>
      <c r="G24" s="276"/>
      <c r="H24" s="276">
        <v>0</v>
      </c>
      <c r="I24" s="276">
        <v>0</v>
      </c>
      <c r="J24" s="276">
        <v>65000</v>
      </c>
      <c r="K24" s="276">
        <v>660000</v>
      </c>
      <c r="L24" s="276">
        <v>750000</v>
      </c>
      <c r="M24" s="276">
        <v>90000</v>
      </c>
      <c r="N24" s="276">
        <v>0</v>
      </c>
      <c r="O24" s="276">
        <v>0</v>
      </c>
      <c r="P24" s="276">
        <v>0</v>
      </c>
      <c r="Q24" s="276">
        <v>80000</v>
      </c>
      <c r="R24" s="278">
        <v>0</v>
      </c>
      <c r="S24" s="278">
        <v>0</v>
      </c>
      <c r="T24" s="278">
        <v>0</v>
      </c>
      <c r="U24" s="278">
        <v>0</v>
      </c>
      <c r="V24" s="279">
        <v>0</v>
      </c>
      <c r="W24" s="279">
        <v>0</v>
      </c>
      <c r="X24" s="279">
        <v>0</v>
      </c>
      <c r="Y24" s="279">
        <v>0</v>
      </c>
      <c r="Z24" s="280">
        <v>65000</v>
      </c>
      <c r="AA24" s="280">
        <v>0</v>
      </c>
      <c r="AB24" s="280">
        <v>0</v>
      </c>
      <c r="AC24" s="280">
        <v>0</v>
      </c>
      <c r="AD24" s="281"/>
      <c r="AE24" s="281"/>
      <c r="AF24" s="281"/>
      <c r="AG24" s="281"/>
      <c r="AH24" s="282"/>
      <c r="AI24" s="282"/>
      <c r="AJ24" s="282"/>
      <c r="AK24" s="282"/>
      <c r="AL24" s="280"/>
      <c r="AM24" s="280"/>
      <c r="AN24" s="280"/>
      <c r="AO24" s="280"/>
      <c r="AP24" s="279"/>
      <c r="AQ24" s="279"/>
      <c r="AR24" s="279"/>
      <c r="AS24" s="279"/>
      <c r="AT24" s="280"/>
      <c r="AU24" s="280"/>
      <c r="AV24" s="280"/>
      <c r="AW24" s="280"/>
      <c r="AX24" s="281"/>
      <c r="AY24" s="281"/>
      <c r="AZ24" s="281"/>
      <c r="BA24" s="281"/>
      <c r="BB24" s="281">
        <v>80000</v>
      </c>
      <c r="BC24" s="278">
        <v>0</v>
      </c>
      <c r="BD24" s="278">
        <v>0</v>
      </c>
      <c r="BE24" s="278">
        <v>0</v>
      </c>
    </row>
    <row r="25" spans="2:57" ht="18.75" customHeight="1">
      <c r="B25" s="466"/>
      <c r="C25" s="467" t="s">
        <v>41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9"/>
      <c r="R25" s="278"/>
      <c r="S25" s="278"/>
      <c r="T25" s="278"/>
      <c r="U25" s="278"/>
      <c r="V25" s="279"/>
      <c r="W25" s="279"/>
      <c r="X25" s="279"/>
      <c r="Y25" s="279"/>
      <c r="Z25" s="280"/>
      <c r="AA25" s="280"/>
      <c r="AB25" s="280"/>
      <c r="AC25" s="280"/>
      <c r="AD25" s="281"/>
      <c r="AE25" s="281"/>
      <c r="AF25" s="281"/>
      <c r="AG25" s="281"/>
      <c r="AH25" s="282"/>
      <c r="AI25" s="282"/>
      <c r="AJ25" s="282"/>
      <c r="AK25" s="282"/>
      <c r="AL25" s="280"/>
      <c r="AM25" s="280"/>
      <c r="AN25" s="280"/>
      <c r="AO25" s="280"/>
      <c r="AP25" s="279"/>
      <c r="AQ25" s="279"/>
      <c r="AR25" s="279"/>
      <c r="AS25" s="279"/>
      <c r="AT25" s="280"/>
      <c r="AU25" s="280"/>
      <c r="AV25" s="280"/>
      <c r="AW25" s="280"/>
      <c r="AX25" s="281"/>
      <c r="AY25" s="281"/>
      <c r="AZ25" s="281"/>
      <c r="BA25" s="281"/>
      <c r="BB25" s="281"/>
      <c r="BC25" s="278"/>
      <c r="BD25" s="278"/>
      <c r="BE25" s="278"/>
    </row>
    <row r="26" spans="2:57" ht="150.75" customHeight="1">
      <c r="B26" s="264">
        <f>B24+1</f>
        <v>12</v>
      </c>
      <c r="C26" s="294" t="s">
        <v>129</v>
      </c>
      <c r="D26" s="273" t="s">
        <v>442</v>
      </c>
      <c r="E26" s="274" t="s">
        <v>130</v>
      </c>
      <c r="F26" s="275">
        <v>257000</v>
      </c>
      <c r="G26" s="276"/>
      <c r="H26" s="276">
        <v>0</v>
      </c>
      <c r="I26" s="276">
        <v>0</v>
      </c>
      <c r="J26" s="276">
        <v>82000</v>
      </c>
      <c r="K26" s="276"/>
      <c r="L26" s="276"/>
      <c r="M26" s="276"/>
      <c r="N26" s="276"/>
      <c r="O26" s="276"/>
      <c r="P26" s="276"/>
      <c r="Q26" s="276">
        <v>175000</v>
      </c>
      <c r="R26" s="278"/>
      <c r="S26" s="278"/>
      <c r="T26" s="278"/>
      <c r="U26" s="278"/>
      <c r="V26" s="279">
        <v>0</v>
      </c>
      <c r="W26" s="279">
        <v>0</v>
      </c>
      <c r="X26" s="279">
        <v>0</v>
      </c>
      <c r="Y26" s="279">
        <v>0</v>
      </c>
      <c r="Z26" s="280">
        <v>82000</v>
      </c>
      <c r="AA26" s="280">
        <v>0</v>
      </c>
      <c r="AB26" s="280">
        <v>0</v>
      </c>
      <c r="AC26" s="280">
        <v>0</v>
      </c>
      <c r="AD26" s="281"/>
      <c r="AE26" s="281"/>
      <c r="AF26" s="281"/>
      <c r="AG26" s="281"/>
      <c r="AH26" s="282"/>
      <c r="AI26" s="282"/>
      <c r="AJ26" s="282"/>
      <c r="AK26" s="282"/>
      <c r="AL26" s="280"/>
      <c r="AM26" s="280"/>
      <c r="AN26" s="280"/>
      <c r="AO26" s="280"/>
      <c r="AP26" s="279"/>
      <c r="AQ26" s="279"/>
      <c r="AR26" s="279"/>
      <c r="AS26" s="279"/>
      <c r="AT26" s="280"/>
      <c r="AU26" s="280"/>
      <c r="AV26" s="280"/>
      <c r="AW26" s="280"/>
      <c r="AX26" s="281"/>
      <c r="AY26" s="281"/>
      <c r="AZ26" s="281"/>
      <c r="BA26" s="281"/>
      <c r="BB26" s="281">
        <v>175000</v>
      </c>
      <c r="BC26" s="278">
        <v>0</v>
      </c>
      <c r="BD26" s="278">
        <v>0</v>
      </c>
      <c r="BE26" s="278">
        <v>0</v>
      </c>
    </row>
    <row r="27" spans="2:57" ht="60.75" customHeight="1">
      <c r="B27" s="465">
        <f>B26+1</f>
        <v>13</v>
      </c>
      <c r="C27" s="37" t="s">
        <v>459</v>
      </c>
      <c r="D27" s="273" t="s">
        <v>442</v>
      </c>
      <c r="E27" s="274" t="s">
        <v>131</v>
      </c>
      <c r="F27" s="275">
        <v>1772000</v>
      </c>
      <c r="G27" s="276"/>
      <c r="H27" s="276">
        <v>70000</v>
      </c>
      <c r="I27" s="276">
        <v>20000</v>
      </c>
      <c r="J27" s="276">
        <v>721000</v>
      </c>
      <c r="K27" s="276">
        <v>238000</v>
      </c>
      <c r="L27" s="276">
        <v>429000</v>
      </c>
      <c r="M27" s="276">
        <v>0</v>
      </c>
      <c r="N27" s="276">
        <v>0</v>
      </c>
      <c r="O27" s="276">
        <v>0</v>
      </c>
      <c r="P27" s="276">
        <v>0</v>
      </c>
      <c r="Q27" s="276">
        <v>234000</v>
      </c>
      <c r="R27" s="278">
        <v>0</v>
      </c>
      <c r="S27" s="278">
        <v>0</v>
      </c>
      <c r="T27" s="278">
        <v>0</v>
      </c>
      <c r="U27" s="278">
        <v>0</v>
      </c>
      <c r="V27" s="279">
        <v>20000</v>
      </c>
      <c r="W27" s="279">
        <v>0</v>
      </c>
      <c r="X27" s="279">
        <v>0</v>
      </c>
      <c r="Y27" s="279">
        <v>0</v>
      </c>
      <c r="Z27" s="280">
        <v>72100</v>
      </c>
      <c r="AA27" s="280">
        <v>0</v>
      </c>
      <c r="AB27" s="280">
        <v>0</v>
      </c>
      <c r="AC27" s="280">
        <v>648900</v>
      </c>
      <c r="AD27" s="281"/>
      <c r="AE27" s="281"/>
      <c r="AF27" s="281"/>
      <c r="AG27" s="281"/>
      <c r="AH27" s="282"/>
      <c r="AI27" s="282"/>
      <c r="AJ27" s="282"/>
      <c r="AK27" s="282"/>
      <c r="AL27" s="280"/>
      <c r="AM27" s="280"/>
      <c r="AN27" s="280"/>
      <c r="AO27" s="280"/>
      <c r="AP27" s="279"/>
      <c r="AQ27" s="279"/>
      <c r="AR27" s="279"/>
      <c r="AS27" s="279"/>
      <c r="AT27" s="280"/>
      <c r="AU27" s="280"/>
      <c r="AV27" s="280"/>
      <c r="AW27" s="280"/>
      <c r="AX27" s="281"/>
      <c r="AY27" s="281"/>
      <c r="AZ27" s="281"/>
      <c r="BA27" s="281"/>
      <c r="BB27" s="281">
        <v>23400</v>
      </c>
      <c r="BC27" s="278">
        <v>0</v>
      </c>
      <c r="BD27" s="278">
        <v>0</v>
      </c>
      <c r="BE27" s="278">
        <v>210600</v>
      </c>
    </row>
    <row r="28" spans="2:57" ht="20.25" customHeight="1">
      <c r="B28" s="466"/>
      <c r="C28" s="467" t="s">
        <v>42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9"/>
      <c r="R28" s="278"/>
      <c r="S28" s="278"/>
      <c r="T28" s="278"/>
      <c r="U28" s="278"/>
      <c r="V28" s="279"/>
      <c r="W28" s="279"/>
      <c r="X28" s="279"/>
      <c r="Y28" s="279"/>
      <c r="Z28" s="280"/>
      <c r="AA28" s="280"/>
      <c r="AB28" s="280"/>
      <c r="AC28" s="280"/>
      <c r="AD28" s="281"/>
      <c r="AE28" s="281"/>
      <c r="AF28" s="281"/>
      <c r="AG28" s="281"/>
      <c r="AH28" s="282"/>
      <c r="AI28" s="282"/>
      <c r="AJ28" s="282"/>
      <c r="AK28" s="282"/>
      <c r="AL28" s="280"/>
      <c r="AM28" s="280"/>
      <c r="AN28" s="280"/>
      <c r="AO28" s="280"/>
      <c r="AP28" s="279"/>
      <c r="AQ28" s="279"/>
      <c r="AR28" s="279"/>
      <c r="AS28" s="279"/>
      <c r="AT28" s="280"/>
      <c r="AU28" s="280"/>
      <c r="AV28" s="280"/>
      <c r="AW28" s="280"/>
      <c r="AX28" s="281"/>
      <c r="AY28" s="281"/>
      <c r="AZ28" s="281"/>
      <c r="BA28" s="281"/>
      <c r="BB28" s="281"/>
      <c r="BC28" s="278"/>
      <c r="BD28" s="278"/>
      <c r="BE28" s="278"/>
    </row>
    <row r="29" spans="2:57" ht="85.5" customHeight="1">
      <c r="B29" s="465">
        <f>B27+1</f>
        <v>14</v>
      </c>
      <c r="C29" s="283" t="s">
        <v>460</v>
      </c>
      <c r="D29" s="273" t="s">
        <v>442</v>
      </c>
      <c r="E29" s="274" t="s">
        <v>461</v>
      </c>
      <c r="F29" s="275">
        <f>G29+H29+I29+J29+K29+L29+M29+N29+O29+P29</f>
        <v>1324638</v>
      </c>
      <c r="G29" s="276">
        <v>1121.91</v>
      </c>
      <c r="H29" s="276">
        <v>15343</v>
      </c>
      <c r="I29" s="292">
        <v>24638</v>
      </c>
      <c r="J29" s="292">
        <v>100000</v>
      </c>
      <c r="K29" s="280"/>
      <c r="L29" s="280"/>
      <c r="M29" s="280"/>
      <c r="N29" s="280"/>
      <c r="O29" s="280"/>
      <c r="P29" s="280">
        <f>1200000-G29-H29</f>
        <v>1183535.09</v>
      </c>
      <c r="Q29" s="292">
        <v>49682</v>
      </c>
      <c r="R29" s="278">
        <v>15343</v>
      </c>
      <c r="S29" s="278">
        <v>0</v>
      </c>
      <c r="T29" s="278">
        <v>0</v>
      </c>
      <c r="U29" s="278">
        <v>0</v>
      </c>
      <c r="V29" s="279">
        <v>24638</v>
      </c>
      <c r="W29" s="279">
        <v>0</v>
      </c>
      <c r="X29" s="279">
        <v>0</v>
      </c>
      <c r="Y29" s="279">
        <v>0</v>
      </c>
      <c r="Z29" s="280">
        <v>100000</v>
      </c>
      <c r="AA29" s="280">
        <v>0</v>
      </c>
      <c r="AB29" s="280">
        <v>0</v>
      </c>
      <c r="AC29" s="280">
        <v>0</v>
      </c>
      <c r="AD29" s="281"/>
      <c r="AE29" s="281"/>
      <c r="AF29" s="281"/>
      <c r="AG29" s="281"/>
      <c r="AH29" s="282"/>
      <c r="AI29" s="282"/>
      <c r="AJ29" s="282"/>
      <c r="AK29" s="282"/>
      <c r="AL29" s="280"/>
      <c r="AM29" s="280"/>
      <c r="AN29" s="280"/>
      <c r="AO29" s="280"/>
      <c r="AP29" s="279"/>
      <c r="AQ29" s="279"/>
      <c r="AR29" s="279"/>
      <c r="AS29" s="279"/>
      <c r="AT29" s="280"/>
      <c r="AU29" s="280"/>
      <c r="AV29" s="280"/>
      <c r="AW29" s="280"/>
      <c r="AX29" s="281"/>
      <c r="AY29" s="281"/>
      <c r="AZ29" s="281"/>
      <c r="BA29" s="281"/>
      <c r="BB29" s="281">
        <v>49682</v>
      </c>
      <c r="BC29" s="278">
        <v>0</v>
      </c>
      <c r="BD29" s="278">
        <v>0</v>
      </c>
      <c r="BE29" s="278">
        <v>0</v>
      </c>
    </row>
    <row r="30" spans="2:57" ht="42" customHeight="1">
      <c r="B30" s="466"/>
      <c r="C30" s="468" t="s">
        <v>43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9"/>
      <c r="R30" s="345"/>
      <c r="S30" s="345"/>
      <c r="T30" s="345"/>
      <c r="U30" s="345"/>
      <c r="V30" s="346"/>
      <c r="W30" s="346"/>
      <c r="X30" s="346"/>
      <c r="Y30" s="346"/>
      <c r="Z30" s="347"/>
      <c r="AA30" s="347"/>
      <c r="AB30" s="347"/>
      <c r="AC30" s="347"/>
      <c r="AD30" s="348"/>
      <c r="AE30" s="348"/>
      <c r="AF30" s="348"/>
      <c r="AG30" s="348"/>
      <c r="AH30" s="349"/>
      <c r="AI30" s="349"/>
      <c r="AJ30" s="349"/>
      <c r="AK30" s="349"/>
      <c r="AL30" s="347"/>
      <c r="AM30" s="347"/>
      <c r="AN30" s="347"/>
      <c r="AO30" s="347"/>
      <c r="AP30" s="346"/>
      <c r="AQ30" s="346"/>
      <c r="AR30" s="346"/>
      <c r="AS30" s="346"/>
      <c r="AT30" s="347"/>
      <c r="AU30" s="347"/>
      <c r="AV30" s="347"/>
      <c r="AW30" s="347"/>
      <c r="AX30" s="348"/>
      <c r="AY30" s="348"/>
      <c r="AZ30" s="348"/>
      <c r="BA30" s="348"/>
      <c r="BB30" s="348"/>
      <c r="BC30" s="345"/>
      <c r="BD30" s="345"/>
      <c r="BE30" s="345"/>
    </row>
    <row r="31" spans="2:57" ht="34.5" customHeight="1">
      <c r="B31" s="295"/>
      <c r="C31" s="296"/>
      <c r="D31" s="297"/>
      <c r="E31" s="298"/>
      <c r="F31" s="299">
        <f>SUM(F7:F29)</f>
        <v>53484393.879999995</v>
      </c>
      <c r="G31" s="299">
        <f aca="true" t="shared" si="0" ref="G31:BE31">SUM(G7:G29)</f>
        <v>230163.01</v>
      </c>
      <c r="H31" s="299">
        <f t="shared" si="0"/>
        <v>6590492.56</v>
      </c>
      <c r="I31" s="299">
        <f t="shared" si="0"/>
        <v>6080133.02</v>
      </c>
      <c r="J31" s="299">
        <f t="shared" si="0"/>
        <v>3689850</v>
      </c>
      <c r="K31" s="299">
        <f t="shared" si="0"/>
        <v>6200300</v>
      </c>
      <c r="L31" s="299">
        <f t="shared" si="0"/>
        <v>5589342</v>
      </c>
      <c r="M31" s="299">
        <f t="shared" si="0"/>
        <v>7887464</v>
      </c>
      <c r="N31" s="299">
        <f t="shared" si="0"/>
        <v>6730000</v>
      </c>
      <c r="O31" s="299">
        <f t="shared" si="0"/>
        <v>800000</v>
      </c>
      <c r="P31" s="299">
        <f t="shared" si="0"/>
        <v>1823535.09</v>
      </c>
      <c r="Q31" s="299">
        <f t="shared" si="0"/>
        <v>2878211</v>
      </c>
      <c r="R31" s="299">
        <f t="shared" si="0"/>
        <v>393390.65</v>
      </c>
      <c r="S31" s="299">
        <f t="shared" si="0"/>
        <v>5302781.22</v>
      </c>
      <c r="T31" s="299">
        <f t="shared" si="0"/>
        <v>1600000</v>
      </c>
      <c r="U31" s="299">
        <f t="shared" si="0"/>
        <v>1003337.5</v>
      </c>
      <c r="V31" s="299">
        <f t="shared" si="0"/>
        <v>1448800.84</v>
      </c>
      <c r="W31" s="299">
        <f t="shared" si="0"/>
        <v>3380587.22</v>
      </c>
      <c r="X31" s="299">
        <f t="shared" si="0"/>
        <v>800000</v>
      </c>
      <c r="Y31" s="299">
        <f t="shared" si="0"/>
        <v>450744.97</v>
      </c>
      <c r="Z31" s="299">
        <f t="shared" si="0"/>
        <v>1990950</v>
      </c>
      <c r="AA31" s="299">
        <f t="shared" si="0"/>
        <v>0</v>
      </c>
      <c r="AB31" s="299">
        <f t="shared" si="0"/>
        <v>0</v>
      </c>
      <c r="AC31" s="299">
        <f t="shared" si="0"/>
        <v>1698900</v>
      </c>
      <c r="AD31" s="299">
        <f t="shared" si="0"/>
        <v>0</v>
      </c>
      <c r="AE31" s="299">
        <f t="shared" si="0"/>
        <v>0</v>
      </c>
      <c r="AF31" s="299">
        <f t="shared" si="0"/>
        <v>0</v>
      </c>
      <c r="AG31" s="299">
        <f t="shared" si="0"/>
        <v>0</v>
      </c>
      <c r="AH31" s="299">
        <f t="shared" si="0"/>
        <v>0</v>
      </c>
      <c r="AI31" s="299">
        <f t="shared" si="0"/>
        <v>0</v>
      </c>
      <c r="AJ31" s="299">
        <f t="shared" si="0"/>
        <v>0</v>
      </c>
      <c r="AK31" s="299">
        <f t="shared" si="0"/>
        <v>0</v>
      </c>
      <c r="AL31" s="299">
        <f t="shared" si="0"/>
        <v>0</v>
      </c>
      <c r="AM31" s="299">
        <f t="shared" si="0"/>
        <v>0</v>
      </c>
      <c r="AN31" s="299">
        <f t="shared" si="0"/>
        <v>0</v>
      </c>
      <c r="AO31" s="299">
        <f t="shared" si="0"/>
        <v>0</v>
      </c>
      <c r="AP31" s="299">
        <f t="shared" si="0"/>
        <v>0</v>
      </c>
      <c r="AQ31" s="299">
        <f t="shared" si="0"/>
        <v>0</v>
      </c>
      <c r="AR31" s="299">
        <f t="shared" si="0"/>
        <v>0</v>
      </c>
      <c r="AS31" s="299">
        <f t="shared" si="0"/>
        <v>0</v>
      </c>
      <c r="AT31" s="299">
        <f t="shared" si="0"/>
        <v>0</v>
      </c>
      <c r="AU31" s="299">
        <f t="shared" si="0"/>
        <v>0</v>
      </c>
      <c r="AV31" s="299">
        <f t="shared" si="0"/>
        <v>0</v>
      </c>
      <c r="AW31" s="299">
        <f t="shared" si="0"/>
        <v>0</v>
      </c>
      <c r="AX31" s="299">
        <f t="shared" si="0"/>
        <v>0</v>
      </c>
      <c r="AY31" s="299">
        <f t="shared" si="0"/>
        <v>0</v>
      </c>
      <c r="AZ31" s="299">
        <f t="shared" si="0"/>
        <v>0</v>
      </c>
      <c r="BA31" s="299">
        <f t="shared" si="0"/>
        <v>0</v>
      </c>
      <c r="BB31" s="299">
        <f t="shared" si="0"/>
        <v>2267611</v>
      </c>
      <c r="BC31" s="299">
        <f t="shared" si="0"/>
        <v>0</v>
      </c>
      <c r="BD31" s="299">
        <f t="shared" si="0"/>
        <v>0</v>
      </c>
      <c r="BE31" s="299">
        <f t="shared" si="0"/>
        <v>610600</v>
      </c>
    </row>
    <row r="34" spans="3:6" s="350" customFormat="1" ht="34.5" customHeight="1">
      <c r="C34" s="464" t="s">
        <v>44</v>
      </c>
      <c r="D34" s="464"/>
      <c r="E34" s="464"/>
      <c r="F34" s="464"/>
    </row>
    <row r="35" spans="3:9" s="350" customFormat="1" ht="20.25">
      <c r="C35" s="350" t="s">
        <v>45</v>
      </c>
      <c r="D35" s="351"/>
      <c r="E35" s="351"/>
      <c r="F35" s="351"/>
      <c r="G35" s="352">
        <v>4581.1</v>
      </c>
      <c r="I35" s="352">
        <f>G35+G36+G42+G44</f>
        <v>197487.22</v>
      </c>
    </row>
    <row r="36" spans="3:8" s="350" customFormat="1" ht="15.75">
      <c r="C36" s="350" t="s">
        <v>46</v>
      </c>
      <c r="F36" s="352">
        <v>194312.56</v>
      </c>
      <c r="G36" s="352">
        <v>189800</v>
      </c>
      <c r="H36" s="352"/>
    </row>
    <row r="37" spans="3:7" s="350" customFormat="1" ht="15.75">
      <c r="C37" s="350" t="s">
        <v>47</v>
      </c>
      <c r="F37" s="352">
        <v>3660</v>
      </c>
      <c r="G37" s="352">
        <v>3660</v>
      </c>
    </row>
    <row r="38" spans="3:7" s="350" customFormat="1" ht="15.75">
      <c r="C38" s="350" t="s">
        <v>48</v>
      </c>
      <c r="F38" s="352">
        <v>58438</v>
      </c>
      <c r="G38" s="352">
        <v>58438</v>
      </c>
    </row>
    <row r="39" spans="3:7" s="350" customFormat="1" ht="15.75">
      <c r="C39" s="350" t="s">
        <v>49</v>
      </c>
      <c r="F39" s="352">
        <v>11329730.46</v>
      </c>
      <c r="G39" s="352">
        <v>11329730.46</v>
      </c>
    </row>
    <row r="40" spans="3:7" s="350" customFormat="1" ht="15.75">
      <c r="C40" s="350" t="s">
        <v>50</v>
      </c>
      <c r="F40" s="352">
        <v>15250</v>
      </c>
      <c r="G40" s="352">
        <v>15250</v>
      </c>
    </row>
    <row r="41" spans="3:9" s="350" customFormat="1" ht="15.75">
      <c r="C41" s="350" t="s">
        <v>51</v>
      </c>
      <c r="F41" s="352">
        <v>229360</v>
      </c>
      <c r="G41" s="352">
        <v>229360</v>
      </c>
      <c r="I41" s="352">
        <f>G43+G37</f>
        <v>12688</v>
      </c>
    </row>
    <row r="42" spans="3:10" s="350" customFormat="1" ht="15.75">
      <c r="C42" s="350" t="s">
        <v>52</v>
      </c>
      <c r="F42" s="352">
        <v>3050</v>
      </c>
      <c r="G42" s="352">
        <v>3050</v>
      </c>
      <c r="I42" s="352">
        <f>G35+G36+G42+G44</f>
        <v>197487.22</v>
      </c>
      <c r="J42" s="352">
        <f>I42+G43+G37</f>
        <v>210175.22</v>
      </c>
    </row>
    <row r="43" spans="3:9" s="350" customFormat="1" ht="15.75">
      <c r="C43" s="350" t="s">
        <v>53</v>
      </c>
      <c r="F43" s="352">
        <v>9028</v>
      </c>
      <c r="G43" s="352">
        <v>9028</v>
      </c>
      <c r="I43" s="352">
        <v>-197418.68</v>
      </c>
    </row>
    <row r="44" spans="3:9" s="350" customFormat="1" ht="15.75">
      <c r="C44" s="350" t="s">
        <v>54</v>
      </c>
      <c r="F44" s="352">
        <v>56.12</v>
      </c>
      <c r="G44" s="352">
        <v>56.12</v>
      </c>
      <c r="I44" s="352">
        <f>SUM(I42:I43)</f>
        <v>68.54000000000815</v>
      </c>
    </row>
    <row r="45" spans="3:7" s="350" customFormat="1" ht="15.75">
      <c r="C45" s="350" t="s">
        <v>55</v>
      </c>
      <c r="F45" s="352">
        <v>104</v>
      </c>
      <c r="G45" s="352">
        <v>104</v>
      </c>
    </row>
    <row r="46" spans="6:8" s="353" customFormat="1" ht="30.75" customHeight="1">
      <c r="F46" s="354">
        <f>SUM(F35:F45)</f>
        <v>11842989.14</v>
      </c>
      <c r="G46" s="354">
        <f>SUM(G35:G45)</f>
        <v>11843057.68</v>
      </c>
      <c r="H46" s="331">
        <f>F46-G46</f>
        <v>-68.53999999910593</v>
      </c>
    </row>
    <row r="47" s="350" customFormat="1" ht="34.5" customHeight="1"/>
    <row r="48" spans="3:6" s="350" customFormat="1" ht="34.5" customHeight="1">
      <c r="C48" s="350" t="s">
        <v>56</v>
      </c>
      <c r="D48" s="352">
        <f>G7+R7+V7</f>
        <v>1482214.59</v>
      </c>
      <c r="F48" s="352">
        <f>D48*100/G46</f>
        <v>12.515472186740206</v>
      </c>
    </row>
    <row r="49" spans="3:6" ht="34.5" customHeight="1">
      <c r="C49" s="223" t="s">
        <v>57</v>
      </c>
      <c r="D49" s="231">
        <f>S7+W7</f>
        <v>8683368.44</v>
      </c>
      <c r="F49" s="231">
        <f>D49*100/G46</f>
        <v>73.32032549891288</v>
      </c>
    </row>
    <row r="50" spans="3:6" ht="34.5" customHeight="1">
      <c r="C50" s="350" t="s">
        <v>58</v>
      </c>
      <c r="D50" s="231">
        <f>U7+Y7</f>
        <v>1157782.47</v>
      </c>
      <c r="F50" s="231">
        <f>D50*100/G46</f>
        <v>9.776043495551058</v>
      </c>
    </row>
    <row r="51" spans="3:6" ht="34.5" customHeight="1">
      <c r="C51" s="350" t="s">
        <v>59</v>
      </c>
      <c r="D51" s="231">
        <v>2600000</v>
      </c>
      <c r="F51" s="231">
        <f>D51*100/G46</f>
        <v>21.953789893219536</v>
      </c>
    </row>
    <row r="52" spans="4:6" ht="34.5" customHeight="1">
      <c r="D52" s="231">
        <f>SUM(D48:D51)</f>
        <v>13923365.5</v>
      </c>
      <c r="F52" s="231">
        <f>SUM(F48:F51)</f>
        <v>117.56563107442368</v>
      </c>
    </row>
  </sheetData>
  <mergeCells count="59">
    <mergeCell ref="BD5:BD6"/>
    <mergeCell ref="BE5:BE6"/>
    <mergeCell ref="AB5:AB6"/>
    <mergeCell ref="AC5:AC6"/>
    <mergeCell ref="BB5:BB6"/>
    <mergeCell ref="BC5:BC6"/>
    <mergeCell ref="X5:X6"/>
    <mergeCell ref="Y5:Y6"/>
    <mergeCell ref="Z5:Z6"/>
    <mergeCell ref="AA5:AA6"/>
    <mergeCell ref="P5:P6"/>
    <mergeCell ref="Q5:Q6"/>
    <mergeCell ref="V5:V6"/>
    <mergeCell ref="W5:W6"/>
    <mergeCell ref="L5:L6"/>
    <mergeCell ref="M5:M6"/>
    <mergeCell ref="N5:N6"/>
    <mergeCell ref="O5:O6"/>
    <mergeCell ref="H5:H6"/>
    <mergeCell ref="I5:I6"/>
    <mergeCell ref="J5:J6"/>
    <mergeCell ref="K5:K6"/>
    <mergeCell ref="AP4:AS4"/>
    <mergeCell ref="AT4:AW4"/>
    <mergeCell ref="AX4:BA4"/>
    <mergeCell ref="BB4:BE4"/>
    <mergeCell ref="Z4:AC4"/>
    <mergeCell ref="AD4:AG4"/>
    <mergeCell ref="AH4:AK4"/>
    <mergeCell ref="AL4:AO4"/>
    <mergeCell ref="AB1:AG1"/>
    <mergeCell ref="BD1:BE2"/>
    <mergeCell ref="B3:B6"/>
    <mergeCell ref="C3:C6"/>
    <mergeCell ref="D3:D6"/>
    <mergeCell ref="E3:E6"/>
    <mergeCell ref="F3:Q3"/>
    <mergeCell ref="R3:AC3"/>
    <mergeCell ref="F4:F6"/>
    <mergeCell ref="R4:U4"/>
    <mergeCell ref="B8:B9"/>
    <mergeCell ref="C9:Q9"/>
    <mergeCell ref="B10:B11"/>
    <mergeCell ref="C11:Q11"/>
    <mergeCell ref="B12:B13"/>
    <mergeCell ref="C13:Q13"/>
    <mergeCell ref="C15:Q15"/>
    <mergeCell ref="B16:B17"/>
    <mergeCell ref="C17:Q17"/>
    <mergeCell ref="C19:Q19"/>
    <mergeCell ref="B21:B22"/>
    <mergeCell ref="C22:Q22"/>
    <mergeCell ref="B24:B25"/>
    <mergeCell ref="C25:Q25"/>
    <mergeCell ref="C34:F34"/>
    <mergeCell ref="B27:B28"/>
    <mergeCell ref="C28:Q28"/>
    <mergeCell ref="B29:B30"/>
    <mergeCell ref="C30:Q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1"/>
  <sheetViews>
    <sheetView zoomScale="150" zoomScaleNormal="150" workbookViewId="0" topLeftCell="A247">
      <selection activeCell="E279" sqref="E279:F304"/>
    </sheetView>
  </sheetViews>
  <sheetFormatPr defaultColWidth="9.140625" defaultRowHeight="12.75"/>
  <cols>
    <col min="1" max="1" width="2.28125" style="3" customWidth="1"/>
    <col min="2" max="2" width="4.28125" style="3" customWidth="1"/>
    <col min="3" max="3" width="5.7109375" style="3" customWidth="1"/>
    <col min="4" max="4" width="4.8515625" style="3" customWidth="1"/>
    <col min="5" max="5" width="33.421875" style="3" customWidth="1"/>
    <col min="6" max="6" width="24.00390625" style="3" customWidth="1"/>
    <col min="7" max="7" width="44.421875" style="120" customWidth="1"/>
    <col min="8" max="16384" width="9.140625" style="3" customWidth="1"/>
  </cols>
  <sheetData>
    <row r="1" spans="2:7" ht="24.75" customHeight="1">
      <c r="B1" s="1" t="s">
        <v>536</v>
      </c>
      <c r="C1" s="70"/>
      <c r="D1" s="2"/>
      <c r="F1" s="4"/>
      <c r="G1" s="49" t="s">
        <v>562</v>
      </c>
    </row>
    <row r="2" spans="2:7" ht="13.5" thickBot="1">
      <c r="B2" s="1"/>
      <c r="C2" s="70"/>
      <c r="D2" s="2"/>
      <c r="F2" s="4"/>
      <c r="G2" s="5"/>
    </row>
    <row r="3" spans="2:7" s="19" customFormat="1" ht="15.75" customHeight="1">
      <c r="B3" s="302" t="s">
        <v>132</v>
      </c>
      <c r="C3" s="359" t="s">
        <v>259</v>
      </c>
      <c r="D3" s="359" t="s">
        <v>134</v>
      </c>
      <c r="E3" s="359" t="s">
        <v>135</v>
      </c>
      <c r="F3" s="306" t="s">
        <v>537</v>
      </c>
      <c r="G3" s="300"/>
    </row>
    <row r="4" spans="2:7" s="72" customFormat="1" ht="79.5" customHeight="1" thickBot="1">
      <c r="B4" s="303"/>
      <c r="C4" s="360"/>
      <c r="D4" s="360"/>
      <c r="E4" s="360"/>
      <c r="F4" s="307"/>
      <c r="G4" s="301"/>
    </row>
    <row r="5" spans="2:7" ht="12.75">
      <c r="B5" s="73"/>
      <c r="C5" s="74"/>
      <c r="D5" s="74"/>
      <c r="E5" s="74"/>
      <c r="F5" s="74"/>
      <c r="G5" s="75"/>
    </row>
    <row r="6" spans="2:7" ht="25.5" hidden="1">
      <c r="B6" s="73"/>
      <c r="C6" s="74"/>
      <c r="D6" s="74"/>
      <c r="E6" s="74"/>
      <c r="F6" s="318" t="s">
        <v>564</v>
      </c>
      <c r="G6" s="75"/>
    </row>
    <row r="7" spans="2:7" ht="12.75">
      <c r="B7" s="76" t="s">
        <v>260</v>
      </c>
      <c r="C7" s="77"/>
      <c r="D7" s="77"/>
      <c r="E7" s="78" t="s">
        <v>261</v>
      </c>
      <c r="F7" s="79">
        <f>F8+F12+F14+F16+F18</f>
        <v>298326</v>
      </c>
      <c r="G7" s="80"/>
    </row>
    <row r="8" spans="2:7" s="19" customFormat="1" ht="12.75" customHeight="1">
      <c r="B8" s="81"/>
      <c r="C8" s="21" t="s">
        <v>262</v>
      </c>
      <c r="D8" s="20"/>
      <c r="E8" s="22" t="s">
        <v>263</v>
      </c>
      <c r="F8" s="23">
        <f>SUM(F9:F11)</f>
        <v>29500</v>
      </c>
      <c r="G8" s="82"/>
    </row>
    <row r="9" spans="2:7" s="19" customFormat="1" ht="18.75" customHeight="1">
      <c r="B9" s="81"/>
      <c r="C9" s="28"/>
      <c r="D9" s="27">
        <v>4210</v>
      </c>
      <c r="E9" s="29" t="s">
        <v>264</v>
      </c>
      <c r="F9" s="30">
        <v>1000</v>
      </c>
      <c r="G9" s="82" t="s">
        <v>265</v>
      </c>
    </row>
    <row r="10" spans="2:7" s="19" customFormat="1" ht="34.5" customHeight="1">
      <c r="B10" s="81"/>
      <c r="C10" s="28"/>
      <c r="D10" s="27">
        <v>4270</v>
      </c>
      <c r="E10" s="29" t="s">
        <v>266</v>
      </c>
      <c r="F10" s="30">
        <f>30000-2500</f>
        <v>27500</v>
      </c>
      <c r="G10" s="361" t="s">
        <v>267</v>
      </c>
    </row>
    <row r="11" spans="2:7" s="19" customFormat="1" ht="32.25" customHeight="1">
      <c r="B11" s="81"/>
      <c r="C11" s="28"/>
      <c r="D11" s="27">
        <v>4300</v>
      </c>
      <c r="E11" s="29" t="s">
        <v>268</v>
      </c>
      <c r="F11" s="30">
        <v>1000</v>
      </c>
      <c r="G11" s="320"/>
    </row>
    <row r="12" spans="2:7" s="19" customFormat="1" ht="25.5">
      <c r="B12" s="81"/>
      <c r="C12" s="21" t="s">
        <v>269</v>
      </c>
      <c r="D12" s="20"/>
      <c r="E12" s="22" t="s">
        <v>270</v>
      </c>
      <c r="F12" s="23">
        <f>SUM(F13:F13)</f>
        <v>233038</v>
      </c>
      <c r="G12" s="84"/>
    </row>
    <row r="13" spans="2:7" s="19" customFormat="1" ht="51">
      <c r="B13" s="85"/>
      <c r="C13" s="28"/>
      <c r="D13" s="27">
        <v>6050</v>
      </c>
      <c r="E13" s="29" t="s">
        <v>271</v>
      </c>
      <c r="F13" s="86">
        <f>15250+136488+31300+15000+25000+10000</f>
        <v>233038</v>
      </c>
      <c r="G13" s="84" t="s">
        <v>538</v>
      </c>
    </row>
    <row r="14" spans="2:7" s="19" customFormat="1" ht="63.75">
      <c r="B14" s="81"/>
      <c r="C14" s="21" t="s">
        <v>272</v>
      </c>
      <c r="D14" s="20"/>
      <c r="E14" s="22" t="s">
        <v>273</v>
      </c>
      <c r="F14" s="23">
        <f>SUM(F15:F15)</f>
        <v>5100</v>
      </c>
      <c r="G14" s="309" t="s">
        <v>274</v>
      </c>
    </row>
    <row r="15" spans="2:7" s="19" customFormat="1" ht="12.75">
      <c r="B15" s="81"/>
      <c r="C15" s="27"/>
      <c r="D15" s="27">
        <v>4300</v>
      </c>
      <c r="E15" s="29" t="s">
        <v>268</v>
      </c>
      <c r="F15" s="30">
        <v>5100</v>
      </c>
      <c r="G15" s="308"/>
    </row>
    <row r="16" spans="2:7" s="19" customFormat="1" ht="14.25" customHeight="1">
      <c r="B16" s="81"/>
      <c r="C16" s="21" t="s">
        <v>275</v>
      </c>
      <c r="D16" s="27"/>
      <c r="E16" s="22" t="s">
        <v>276</v>
      </c>
      <c r="F16" s="23">
        <f>SUM(F17)</f>
        <v>12688</v>
      </c>
      <c r="G16" s="87"/>
    </row>
    <row r="17" spans="2:7" s="19" customFormat="1" ht="38.25">
      <c r="B17" s="81"/>
      <c r="C17" s="27"/>
      <c r="D17" s="27">
        <v>2850</v>
      </c>
      <c r="E17" s="29" t="s">
        <v>277</v>
      </c>
      <c r="F17" s="30">
        <v>12688</v>
      </c>
      <c r="G17" s="84" t="s">
        <v>278</v>
      </c>
    </row>
    <row r="18" spans="2:7" s="19" customFormat="1" ht="18.75" customHeight="1">
      <c r="B18" s="81"/>
      <c r="C18" s="21" t="s">
        <v>279</v>
      </c>
      <c r="D18" s="20"/>
      <c r="E18" s="22" t="s">
        <v>152</v>
      </c>
      <c r="F18" s="23">
        <f>F20+F19</f>
        <v>18000</v>
      </c>
      <c r="G18" s="84"/>
    </row>
    <row r="19" spans="2:7" s="19" customFormat="1" ht="12.75" customHeight="1">
      <c r="B19" s="81"/>
      <c r="C19" s="21"/>
      <c r="D19" s="27">
        <v>4210</v>
      </c>
      <c r="E19" s="29" t="s">
        <v>264</v>
      </c>
      <c r="F19" s="30">
        <v>8000</v>
      </c>
      <c r="G19" s="361" t="s">
        <v>565</v>
      </c>
    </row>
    <row r="20" spans="2:7" s="19" customFormat="1" ht="21.75" customHeight="1">
      <c r="B20" s="81"/>
      <c r="C20" s="27"/>
      <c r="D20" s="27">
        <v>4300</v>
      </c>
      <c r="E20" s="29" t="s">
        <v>268</v>
      </c>
      <c r="F20" s="30">
        <v>10000</v>
      </c>
      <c r="G20" s="320"/>
    </row>
    <row r="21" spans="2:7" s="19" customFormat="1" ht="12.75">
      <c r="B21" s="76" t="s">
        <v>149</v>
      </c>
      <c r="C21" s="77"/>
      <c r="D21" s="77"/>
      <c r="E21" s="78" t="s">
        <v>150</v>
      </c>
      <c r="F21" s="88">
        <f>F22</f>
        <v>2000</v>
      </c>
      <c r="G21" s="89"/>
    </row>
    <row r="22" spans="2:7" s="19" customFormat="1" ht="16.5" customHeight="1">
      <c r="B22" s="81"/>
      <c r="C22" s="21" t="s">
        <v>151</v>
      </c>
      <c r="D22" s="20"/>
      <c r="E22" s="22" t="s">
        <v>152</v>
      </c>
      <c r="F22" s="23">
        <f>SUM(F23:F24)</f>
        <v>2000</v>
      </c>
      <c r="G22" s="84"/>
    </row>
    <row r="23" spans="2:7" s="19" customFormat="1" ht="27.75" customHeight="1">
      <c r="B23" s="81"/>
      <c r="C23" s="28"/>
      <c r="D23" s="27">
        <v>4210</v>
      </c>
      <c r="E23" s="29" t="s">
        <v>264</v>
      </c>
      <c r="F23" s="30">
        <v>1000</v>
      </c>
      <c r="G23" s="84" t="s">
        <v>539</v>
      </c>
    </row>
    <row r="24" spans="2:7" s="19" customFormat="1" ht="12.75">
      <c r="B24" s="81"/>
      <c r="C24" s="28"/>
      <c r="D24" s="27">
        <v>4300</v>
      </c>
      <c r="E24" s="29" t="s">
        <v>268</v>
      </c>
      <c r="F24" s="30">
        <v>1000</v>
      </c>
      <c r="G24" s="84" t="s">
        <v>280</v>
      </c>
    </row>
    <row r="25" spans="2:7" s="19" customFormat="1" ht="12.75">
      <c r="B25" s="90">
        <v>600</v>
      </c>
      <c r="C25" s="91"/>
      <c r="D25" s="91"/>
      <c r="E25" s="92" t="s">
        <v>159</v>
      </c>
      <c r="F25" s="88">
        <f>F28+F26</f>
        <v>20000</v>
      </c>
      <c r="G25" s="89"/>
    </row>
    <row r="26" spans="2:7" s="43" customFormat="1" ht="12.75" hidden="1">
      <c r="B26" s="96"/>
      <c r="C26" s="36">
        <v>60014</v>
      </c>
      <c r="D26" s="36"/>
      <c r="E26" s="37" t="s">
        <v>540</v>
      </c>
      <c r="F26" s="40">
        <f>F27</f>
        <v>0</v>
      </c>
      <c r="G26" s="182"/>
    </row>
    <row r="27" spans="2:7" s="43" customFormat="1" ht="51" hidden="1">
      <c r="B27" s="96"/>
      <c r="C27" s="38"/>
      <c r="D27" s="38">
        <v>2710</v>
      </c>
      <c r="E27" s="39" t="s">
        <v>362</v>
      </c>
      <c r="F27" s="45"/>
      <c r="G27" s="182" t="s">
        <v>541</v>
      </c>
    </row>
    <row r="28" spans="2:7" s="19" customFormat="1" ht="12.75" customHeight="1">
      <c r="B28" s="81"/>
      <c r="C28" s="20">
        <v>60016</v>
      </c>
      <c r="D28" s="20"/>
      <c r="E28" s="22" t="s">
        <v>160</v>
      </c>
      <c r="F28" s="23">
        <f>SUM(F29:F29)</f>
        <v>20000</v>
      </c>
      <c r="G28" s="361" t="s">
        <v>542</v>
      </c>
    </row>
    <row r="29" spans="2:7" s="19" customFormat="1" ht="39" customHeight="1">
      <c r="B29" s="85"/>
      <c r="C29" s="28"/>
      <c r="D29" s="27">
        <v>6050</v>
      </c>
      <c r="E29" s="29" t="s">
        <v>271</v>
      </c>
      <c r="F29" s="30">
        <v>20000</v>
      </c>
      <c r="G29" s="362"/>
    </row>
    <row r="30" spans="2:7" s="19" customFormat="1" ht="12.75">
      <c r="B30" s="90">
        <v>700</v>
      </c>
      <c r="C30" s="91"/>
      <c r="D30" s="91"/>
      <c r="E30" s="92" t="s">
        <v>163</v>
      </c>
      <c r="F30" s="88">
        <f>F34+F31</f>
        <v>1398071</v>
      </c>
      <c r="G30" s="89"/>
    </row>
    <row r="31" spans="2:7" s="19" customFormat="1" ht="25.5">
      <c r="B31" s="81"/>
      <c r="C31" s="20">
        <v>70004</v>
      </c>
      <c r="D31" s="20"/>
      <c r="E31" s="22" t="s">
        <v>281</v>
      </c>
      <c r="F31" s="23">
        <f>SUM(F32:F32)</f>
        <v>318071</v>
      </c>
      <c r="G31" s="87"/>
    </row>
    <row r="32" spans="2:7" s="4" customFormat="1" ht="53.25" customHeight="1">
      <c r="B32" s="93"/>
      <c r="C32" s="94"/>
      <c r="D32" s="27">
        <v>2650</v>
      </c>
      <c r="E32" s="29" t="s">
        <v>282</v>
      </c>
      <c r="F32" s="30">
        <f>346532-28461</f>
        <v>318071</v>
      </c>
      <c r="G32" s="83" t="s">
        <v>283</v>
      </c>
    </row>
    <row r="33" spans="2:7" s="4" customFormat="1" ht="76.5" customHeight="1" hidden="1">
      <c r="B33" s="93"/>
      <c r="C33" s="94"/>
      <c r="D33" s="27">
        <v>6210</v>
      </c>
      <c r="E33" s="29" t="s">
        <v>543</v>
      </c>
      <c r="F33" s="30"/>
      <c r="G33" s="83"/>
    </row>
    <row r="34" spans="2:7" s="95" customFormat="1" ht="25.5">
      <c r="B34" s="96"/>
      <c r="C34" s="20">
        <v>70005</v>
      </c>
      <c r="D34" s="20"/>
      <c r="E34" s="22" t="s">
        <v>164</v>
      </c>
      <c r="F34" s="23">
        <f>SUM(F35:F38)</f>
        <v>1080000</v>
      </c>
      <c r="G34" s="97"/>
    </row>
    <row r="35" spans="2:7" s="95" customFormat="1" ht="33.75" customHeight="1">
      <c r="B35" s="96"/>
      <c r="C35" s="41"/>
      <c r="D35" s="27">
        <v>4210</v>
      </c>
      <c r="E35" s="29" t="s">
        <v>264</v>
      </c>
      <c r="F35" s="45">
        <v>20000</v>
      </c>
      <c r="G35" s="98" t="s">
        <v>544</v>
      </c>
    </row>
    <row r="36" spans="2:7" s="95" customFormat="1" ht="72" customHeight="1">
      <c r="B36" s="96"/>
      <c r="C36" s="41"/>
      <c r="D36" s="27">
        <v>4300</v>
      </c>
      <c r="E36" s="29" t="s">
        <v>268</v>
      </c>
      <c r="F36" s="45">
        <v>60000</v>
      </c>
      <c r="G36" s="99" t="s">
        <v>284</v>
      </c>
    </row>
    <row r="37" spans="2:7" s="95" customFormat="1" ht="25.5">
      <c r="B37" s="96"/>
      <c r="C37" s="41"/>
      <c r="D37" s="27">
        <v>6050</v>
      </c>
      <c r="E37" s="29" t="s">
        <v>271</v>
      </c>
      <c r="F37" s="45">
        <v>40000</v>
      </c>
      <c r="G37" s="100" t="s">
        <v>285</v>
      </c>
    </row>
    <row r="38" spans="2:7" s="95" customFormat="1" ht="25.5">
      <c r="B38" s="96"/>
      <c r="C38" s="41"/>
      <c r="D38" s="27">
        <v>6060</v>
      </c>
      <c r="E38" s="29" t="s">
        <v>343</v>
      </c>
      <c r="F38" s="45">
        <v>960000</v>
      </c>
      <c r="G38" s="100" t="s">
        <v>545</v>
      </c>
    </row>
    <row r="39" spans="2:7" s="19" customFormat="1" ht="12.75">
      <c r="B39" s="90">
        <v>710</v>
      </c>
      <c r="C39" s="91"/>
      <c r="D39" s="91"/>
      <c r="E39" s="92" t="s">
        <v>286</v>
      </c>
      <c r="F39" s="88">
        <f>F40+F42</f>
        <v>20000</v>
      </c>
      <c r="G39" s="88"/>
    </row>
    <row r="40" spans="2:7" s="19" customFormat="1" ht="27" customHeight="1">
      <c r="B40" s="81"/>
      <c r="C40" s="20">
        <v>71004</v>
      </c>
      <c r="D40" s="20"/>
      <c r="E40" s="22" t="s">
        <v>287</v>
      </c>
      <c r="F40" s="23">
        <f>SUM(F41:F41)</f>
        <v>20000</v>
      </c>
      <c r="G40" s="210"/>
    </row>
    <row r="41" spans="2:7" s="19" customFormat="1" ht="12.75">
      <c r="B41" s="81"/>
      <c r="C41" s="27"/>
      <c r="D41" s="27">
        <v>4300</v>
      </c>
      <c r="E41" s="29" t="s">
        <v>268</v>
      </c>
      <c r="F41" s="30">
        <v>20000</v>
      </c>
      <c r="G41" s="84" t="s">
        <v>546</v>
      </c>
    </row>
    <row r="42" spans="2:7" s="19" customFormat="1" ht="25.5" customHeight="1" hidden="1">
      <c r="B42" s="81"/>
      <c r="C42" s="20">
        <v>71014</v>
      </c>
      <c r="D42" s="20"/>
      <c r="E42" s="22" t="s">
        <v>288</v>
      </c>
      <c r="F42" s="23">
        <f>SUM(F43:F43)</f>
        <v>0</v>
      </c>
      <c r="G42" s="84"/>
    </row>
    <row r="43" spans="2:7" s="19" customFormat="1" ht="12.75" customHeight="1" hidden="1">
      <c r="B43" s="81"/>
      <c r="C43" s="27"/>
      <c r="D43" s="27">
        <v>4300</v>
      </c>
      <c r="E43" s="29" t="s">
        <v>268</v>
      </c>
      <c r="F43" s="30"/>
      <c r="G43" s="84" t="s">
        <v>289</v>
      </c>
    </row>
    <row r="44" spans="2:7" s="19" customFormat="1" ht="12.75">
      <c r="B44" s="90">
        <v>750</v>
      </c>
      <c r="C44" s="91"/>
      <c r="D44" s="91"/>
      <c r="E44" s="92" t="s">
        <v>174</v>
      </c>
      <c r="F44" s="88">
        <f>F45+F48+F54+F70</f>
        <v>2110650</v>
      </c>
      <c r="G44" s="89"/>
    </row>
    <row r="45" spans="2:7" s="19" customFormat="1" ht="12.75">
      <c r="B45" s="81"/>
      <c r="C45" s="20">
        <v>75011</v>
      </c>
      <c r="D45" s="20"/>
      <c r="E45" s="22" t="s">
        <v>175</v>
      </c>
      <c r="F45" s="23">
        <f>SUM(F46:F47)</f>
        <v>53800</v>
      </c>
      <c r="G45" s="84"/>
    </row>
    <row r="46" spans="2:7" s="19" customFormat="1" ht="12.75">
      <c r="B46" s="81"/>
      <c r="C46" s="27"/>
      <c r="D46" s="27">
        <v>4010</v>
      </c>
      <c r="E46" s="29" t="s">
        <v>290</v>
      </c>
      <c r="F46" s="30">
        <v>45893</v>
      </c>
      <c r="G46" s="361" t="s">
        <v>291</v>
      </c>
    </row>
    <row r="47" spans="2:7" s="19" customFormat="1" ht="12.75">
      <c r="B47" s="81"/>
      <c r="C47" s="27"/>
      <c r="D47" s="27">
        <v>4110</v>
      </c>
      <c r="E47" s="29" t="s">
        <v>292</v>
      </c>
      <c r="F47" s="30">
        <v>7907</v>
      </c>
      <c r="G47" s="320"/>
    </row>
    <row r="48" spans="2:7" s="19" customFormat="1" ht="12.75">
      <c r="B48" s="81"/>
      <c r="C48" s="20">
        <v>75022</v>
      </c>
      <c r="D48" s="20"/>
      <c r="E48" s="22" t="s">
        <v>293</v>
      </c>
      <c r="F48" s="23">
        <f>SUM(F49:F53)</f>
        <v>151300</v>
      </c>
      <c r="G48" s="84"/>
    </row>
    <row r="49" spans="2:7" s="19" customFormat="1" ht="12.75">
      <c r="B49" s="81"/>
      <c r="C49" s="27"/>
      <c r="D49" s="27">
        <v>3030</v>
      </c>
      <c r="E49" s="29" t="s">
        <v>294</v>
      </c>
      <c r="F49" s="30">
        <v>88800</v>
      </c>
      <c r="G49" s="84" t="s">
        <v>547</v>
      </c>
    </row>
    <row r="50" spans="2:7" s="19" customFormat="1" ht="57.75" customHeight="1">
      <c r="B50" s="81"/>
      <c r="C50" s="27"/>
      <c r="D50" s="27">
        <v>4210</v>
      </c>
      <c r="E50" s="29" t="s">
        <v>264</v>
      </c>
      <c r="F50" s="30">
        <v>30000</v>
      </c>
      <c r="G50" s="84" t="s">
        <v>548</v>
      </c>
    </row>
    <row r="51" spans="2:7" s="19" customFormat="1" ht="51.75" customHeight="1">
      <c r="B51" s="81"/>
      <c r="C51" s="27"/>
      <c r="D51" s="27">
        <v>4300</v>
      </c>
      <c r="E51" s="29" t="s">
        <v>268</v>
      </c>
      <c r="F51" s="30">
        <v>31000</v>
      </c>
      <c r="G51" s="84" t="s">
        <v>295</v>
      </c>
    </row>
    <row r="52" spans="2:7" s="19" customFormat="1" ht="15" customHeight="1">
      <c r="B52" s="81"/>
      <c r="C52" s="27"/>
      <c r="D52" s="27">
        <v>4410</v>
      </c>
      <c r="E52" s="29" t="s">
        <v>296</v>
      </c>
      <c r="F52" s="30">
        <v>1000</v>
      </c>
      <c r="G52" s="84" t="s">
        <v>297</v>
      </c>
    </row>
    <row r="53" spans="2:7" s="19" customFormat="1" ht="18" customHeight="1">
      <c r="B53" s="81"/>
      <c r="C53" s="27"/>
      <c r="D53" s="27">
        <v>4420</v>
      </c>
      <c r="E53" s="29" t="s">
        <v>298</v>
      </c>
      <c r="F53" s="30">
        <v>500</v>
      </c>
      <c r="G53" s="84" t="s">
        <v>299</v>
      </c>
    </row>
    <row r="54" spans="2:7" s="19" customFormat="1" ht="12.75">
      <c r="B54" s="81"/>
      <c r="C54" s="20">
        <v>75023</v>
      </c>
      <c r="D54" s="20"/>
      <c r="E54" s="22" t="s">
        <v>178</v>
      </c>
      <c r="F54" s="23">
        <f>SUM(F55:F69)</f>
        <v>1855850</v>
      </c>
      <c r="G54" s="84"/>
    </row>
    <row r="55" spans="2:7" s="19" customFormat="1" ht="25.5">
      <c r="B55" s="81"/>
      <c r="C55" s="27"/>
      <c r="D55" s="27">
        <v>3020</v>
      </c>
      <c r="E55" s="29" t="s">
        <v>300</v>
      </c>
      <c r="F55" s="30">
        <v>10000</v>
      </c>
      <c r="G55" s="84" t="s">
        <v>301</v>
      </c>
    </row>
    <row r="56" spans="2:7" s="19" customFormat="1" ht="25.5" customHeight="1">
      <c r="B56" s="81"/>
      <c r="C56" s="27"/>
      <c r="D56" s="27">
        <v>4010</v>
      </c>
      <c r="E56" s="29" t="s">
        <v>290</v>
      </c>
      <c r="F56" s="30">
        <v>1206000</v>
      </c>
      <c r="G56" s="361" t="s">
        <v>549</v>
      </c>
    </row>
    <row r="57" spans="2:7" s="19" customFormat="1" ht="12.75">
      <c r="B57" s="81"/>
      <c r="C57" s="27"/>
      <c r="D57" s="27">
        <v>4040</v>
      </c>
      <c r="E57" s="29" t="s">
        <v>302</v>
      </c>
      <c r="F57" s="30">
        <v>58500</v>
      </c>
      <c r="G57" s="362"/>
    </row>
    <row r="58" spans="2:7" s="19" customFormat="1" ht="12.75">
      <c r="B58" s="81"/>
      <c r="C58" s="27"/>
      <c r="D58" s="27">
        <v>4110</v>
      </c>
      <c r="E58" s="29" t="s">
        <v>292</v>
      </c>
      <c r="F58" s="30">
        <v>208500</v>
      </c>
      <c r="G58" s="362"/>
    </row>
    <row r="59" spans="2:7" s="19" customFormat="1" ht="12.75">
      <c r="B59" s="81"/>
      <c r="C59" s="27"/>
      <c r="D59" s="27">
        <v>4120</v>
      </c>
      <c r="E59" s="29" t="s">
        <v>303</v>
      </c>
      <c r="F59" s="30">
        <v>28500</v>
      </c>
      <c r="G59" s="320"/>
    </row>
    <row r="60" spans="2:7" s="19" customFormat="1" ht="44.25" customHeight="1">
      <c r="B60" s="81"/>
      <c r="C60" s="27"/>
      <c r="D60" s="27">
        <v>4210</v>
      </c>
      <c r="E60" s="29" t="s">
        <v>264</v>
      </c>
      <c r="F60" s="30">
        <f>54800+26200+3000</f>
        <v>84000</v>
      </c>
      <c r="G60" s="84" t="s">
        <v>304</v>
      </c>
    </row>
    <row r="61" spans="2:7" s="19" customFormat="1" ht="30.75" customHeight="1">
      <c r="B61" s="81"/>
      <c r="C61" s="27"/>
      <c r="D61" s="27">
        <v>4260</v>
      </c>
      <c r="E61" s="29" t="s">
        <v>305</v>
      </c>
      <c r="F61" s="30">
        <v>10000</v>
      </c>
      <c r="G61" s="84" t="s">
        <v>306</v>
      </c>
    </row>
    <row r="62" spans="2:7" s="19" customFormat="1" ht="68.25" customHeight="1">
      <c r="B62" s="81"/>
      <c r="C62" s="27"/>
      <c r="D62" s="27">
        <v>4270</v>
      </c>
      <c r="E62" s="29" t="s">
        <v>266</v>
      </c>
      <c r="F62" s="30">
        <f>12100+10000</f>
        <v>22100</v>
      </c>
      <c r="G62" s="101" t="s">
        <v>307</v>
      </c>
    </row>
    <row r="63" spans="2:7" s="19" customFormat="1" ht="41.25" customHeight="1">
      <c r="B63" s="81"/>
      <c r="C63" s="27"/>
      <c r="D63" s="27">
        <v>4300</v>
      </c>
      <c r="E63" s="29" t="s">
        <v>268</v>
      </c>
      <c r="F63" s="30">
        <f>63650+67000-4400</f>
        <v>126250</v>
      </c>
      <c r="G63" s="84" t="s">
        <v>550</v>
      </c>
    </row>
    <row r="64" spans="2:7" s="19" customFormat="1" ht="12.75">
      <c r="B64" s="81"/>
      <c r="C64" s="27"/>
      <c r="D64" s="27">
        <v>4350</v>
      </c>
      <c r="E64" s="29" t="s">
        <v>72</v>
      </c>
      <c r="F64" s="30">
        <v>4400</v>
      </c>
      <c r="G64" s="84"/>
    </row>
    <row r="65" spans="2:7" s="19" customFormat="1" ht="28.5" customHeight="1">
      <c r="B65" s="81"/>
      <c r="C65" s="27"/>
      <c r="D65" s="27">
        <v>4410</v>
      </c>
      <c r="E65" s="29" t="s">
        <v>296</v>
      </c>
      <c r="F65" s="30">
        <v>30000</v>
      </c>
      <c r="G65" s="84" t="s">
        <v>551</v>
      </c>
    </row>
    <row r="66" spans="2:7" s="19" customFormat="1" ht="12.75">
      <c r="B66" s="81"/>
      <c r="C66" s="27"/>
      <c r="D66" s="27">
        <v>4420</v>
      </c>
      <c r="E66" s="29" t="s">
        <v>298</v>
      </c>
      <c r="F66" s="30">
        <v>2000</v>
      </c>
      <c r="G66" s="84"/>
    </row>
    <row r="67" spans="2:7" s="19" customFormat="1" ht="66.75" customHeight="1">
      <c r="B67" s="81"/>
      <c r="C67" s="27"/>
      <c r="D67" s="27">
        <v>4430</v>
      </c>
      <c r="E67" s="29" t="s">
        <v>308</v>
      </c>
      <c r="F67" s="30">
        <f>9300+6900+1000</f>
        <v>17200</v>
      </c>
      <c r="G67" s="84" t="s">
        <v>552</v>
      </c>
    </row>
    <row r="68" spans="2:7" s="19" customFormat="1" ht="25.5">
      <c r="B68" s="81"/>
      <c r="C68" s="27"/>
      <c r="D68" s="27">
        <v>4440</v>
      </c>
      <c r="E68" s="29" t="s">
        <v>309</v>
      </c>
      <c r="F68" s="30">
        <v>33000</v>
      </c>
      <c r="G68" s="84"/>
    </row>
    <row r="69" spans="2:7" s="19" customFormat="1" ht="48" customHeight="1">
      <c r="B69" s="81"/>
      <c r="C69" s="27"/>
      <c r="D69" s="27">
        <v>6060</v>
      </c>
      <c r="E69" s="29" t="s">
        <v>343</v>
      </c>
      <c r="F69" s="30">
        <v>15400</v>
      </c>
      <c r="G69" s="84" t="s">
        <v>566</v>
      </c>
    </row>
    <row r="70" spans="2:7" s="19" customFormat="1" ht="12.75">
      <c r="B70" s="81"/>
      <c r="C70" s="20">
        <v>75095</v>
      </c>
      <c r="D70" s="20"/>
      <c r="E70" s="22" t="s">
        <v>152</v>
      </c>
      <c r="F70" s="23">
        <f>SUM(F71:F75)</f>
        <v>49700</v>
      </c>
      <c r="G70" s="84"/>
    </row>
    <row r="71" spans="2:7" s="19" customFormat="1" ht="12.75">
      <c r="B71" s="81"/>
      <c r="C71" s="20"/>
      <c r="D71" s="105">
        <v>4170</v>
      </c>
      <c r="E71" s="106" t="s">
        <v>372</v>
      </c>
      <c r="F71" s="30">
        <v>3300</v>
      </c>
      <c r="G71" s="181"/>
    </row>
    <row r="72" spans="2:7" s="19" customFormat="1" ht="30.75" customHeight="1">
      <c r="B72" s="81"/>
      <c r="C72" s="20"/>
      <c r="D72" s="27">
        <v>4210</v>
      </c>
      <c r="E72" s="29" t="s">
        <v>264</v>
      </c>
      <c r="F72" s="30">
        <v>10400</v>
      </c>
      <c r="G72" s="104" t="s">
        <v>60</v>
      </c>
    </row>
    <row r="73" spans="2:7" s="19" customFormat="1" ht="13.5" customHeight="1">
      <c r="B73" s="81"/>
      <c r="C73" s="20"/>
      <c r="D73" s="27">
        <v>4260</v>
      </c>
      <c r="E73" s="29" t="s">
        <v>305</v>
      </c>
      <c r="F73" s="30">
        <v>20000</v>
      </c>
      <c r="G73" s="304" t="s">
        <v>61</v>
      </c>
    </row>
    <row r="74" spans="2:7" s="19" customFormat="1" ht="12.75">
      <c r="B74" s="81"/>
      <c r="C74" s="20"/>
      <c r="D74" s="27">
        <v>4270</v>
      </c>
      <c r="E74" s="29" t="s">
        <v>310</v>
      </c>
      <c r="F74" s="30">
        <v>1000</v>
      </c>
      <c r="G74" s="305"/>
    </row>
    <row r="75" spans="2:7" s="19" customFormat="1" ht="24.75" customHeight="1">
      <c r="B75" s="81"/>
      <c r="C75" s="27"/>
      <c r="D75" s="27">
        <v>4300</v>
      </c>
      <c r="E75" s="29" t="s">
        <v>268</v>
      </c>
      <c r="F75" s="30">
        <v>15000</v>
      </c>
      <c r="G75" s="305"/>
    </row>
    <row r="76" spans="2:7" s="19" customFormat="1" ht="38.25">
      <c r="B76" s="90">
        <v>751</v>
      </c>
      <c r="C76" s="91"/>
      <c r="D76" s="91"/>
      <c r="E76" s="92" t="s">
        <v>311</v>
      </c>
      <c r="F76" s="88">
        <f>F77</f>
        <v>1090</v>
      </c>
      <c r="G76" s="89"/>
    </row>
    <row r="77" spans="2:7" s="102" customFormat="1" ht="25.5">
      <c r="B77" s="81"/>
      <c r="C77" s="41">
        <v>75101</v>
      </c>
      <c r="D77" s="41"/>
      <c r="E77" s="103" t="s">
        <v>312</v>
      </c>
      <c r="F77" s="23">
        <f>SUM(F78:F78)</f>
        <v>1090</v>
      </c>
      <c r="G77" s="104"/>
    </row>
    <row r="78" spans="2:7" s="19" customFormat="1" ht="27.75" customHeight="1">
      <c r="B78" s="81"/>
      <c r="C78" s="27"/>
      <c r="D78" s="27">
        <v>4300</v>
      </c>
      <c r="E78" s="29" t="s">
        <v>268</v>
      </c>
      <c r="F78" s="30">
        <v>1090</v>
      </c>
      <c r="G78" s="82" t="s">
        <v>291</v>
      </c>
    </row>
    <row r="79" spans="2:7" s="19" customFormat="1" ht="25.5">
      <c r="B79" s="90">
        <v>754</v>
      </c>
      <c r="C79" s="91"/>
      <c r="D79" s="91"/>
      <c r="E79" s="92" t="s">
        <v>183</v>
      </c>
      <c r="F79" s="88">
        <f>F80+F82+F93</f>
        <v>89180</v>
      </c>
      <c r="G79" s="89"/>
    </row>
    <row r="80" spans="2:7" s="19" customFormat="1" ht="12.75">
      <c r="B80" s="81"/>
      <c r="C80" s="20">
        <v>75403</v>
      </c>
      <c r="D80" s="20"/>
      <c r="E80" s="22" t="s">
        <v>313</v>
      </c>
      <c r="F80" s="23">
        <f>SUM(F81:F81)</f>
        <v>2000</v>
      </c>
      <c r="G80" s="84"/>
    </row>
    <row r="81" spans="2:7" s="19" customFormat="1" ht="18" customHeight="1">
      <c r="B81" s="81"/>
      <c r="C81" s="27"/>
      <c r="D81" s="27">
        <v>4210</v>
      </c>
      <c r="E81" s="29" t="s">
        <v>264</v>
      </c>
      <c r="F81" s="30">
        <v>2000</v>
      </c>
      <c r="G81" s="84" t="s">
        <v>314</v>
      </c>
    </row>
    <row r="82" spans="2:7" s="19" customFormat="1" ht="12.75">
      <c r="B82" s="81"/>
      <c r="C82" s="20">
        <v>75412</v>
      </c>
      <c r="D82" s="20"/>
      <c r="E82" s="22" t="s">
        <v>315</v>
      </c>
      <c r="F82" s="23">
        <f>SUM(F83:F91)</f>
        <v>85680</v>
      </c>
      <c r="G82" s="84"/>
    </row>
    <row r="83" spans="2:7" s="19" customFormat="1" ht="63.75" customHeight="1">
      <c r="B83" s="81"/>
      <c r="C83" s="20"/>
      <c r="D83" s="105">
        <v>6230</v>
      </c>
      <c r="E83" s="106" t="s">
        <v>316</v>
      </c>
      <c r="F83" s="30">
        <v>3000</v>
      </c>
      <c r="G83" s="84" t="s">
        <v>317</v>
      </c>
    </row>
    <row r="84" spans="2:7" s="19" customFormat="1" ht="50.25" customHeight="1">
      <c r="B84" s="81"/>
      <c r="C84" s="27"/>
      <c r="D84" s="27">
        <v>3030</v>
      </c>
      <c r="E84" s="29" t="s">
        <v>294</v>
      </c>
      <c r="F84" s="30">
        <v>10000</v>
      </c>
      <c r="G84" s="82" t="s">
        <v>62</v>
      </c>
    </row>
    <row r="85" spans="2:7" s="19" customFormat="1" ht="19.5" customHeight="1">
      <c r="B85" s="81"/>
      <c r="C85" s="27"/>
      <c r="D85" s="27">
        <v>4170</v>
      </c>
      <c r="E85" s="29" t="s">
        <v>372</v>
      </c>
      <c r="F85" s="30">
        <v>2880</v>
      </c>
      <c r="G85" s="82" t="s">
        <v>63</v>
      </c>
    </row>
    <row r="86" spans="2:7" s="19" customFormat="1" ht="102">
      <c r="B86" s="81"/>
      <c r="C86" s="27"/>
      <c r="D86" s="27">
        <v>4210</v>
      </c>
      <c r="E86" s="29" t="s">
        <v>264</v>
      </c>
      <c r="F86" s="30">
        <v>28000</v>
      </c>
      <c r="G86" s="82" t="s">
        <v>318</v>
      </c>
    </row>
    <row r="87" spans="2:7" s="19" customFormat="1" ht="39" customHeight="1">
      <c r="B87" s="81"/>
      <c r="C87" s="27"/>
      <c r="D87" s="27">
        <v>4260</v>
      </c>
      <c r="E87" s="29" t="s">
        <v>305</v>
      </c>
      <c r="F87" s="30">
        <v>8000</v>
      </c>
      <c r="G87" s="82" t="s">
        <v>64</v>
      </c>
    </row>
    <row r="88" spans="2:7" s="19" customFormat="1" ht="38.25">
      <c r="B88" s="81"/>
      <c r="C88" s="27"/>
      <c r="D88" s="27">
        <v>4270</v>
      </c>
      <c r="E88" s="29" t="s">
        <v>310</v>
      </c>
      <c r="F88" s="30">
        <v>4000</v>
      </c>
      <c r="G88" s="82" t="s">
        <v>319</v>
      </c>
    </row>
    <row r="89" spans="2:7" s="19" customFormat="1" ht="42.75" customHeight="1">
      <c r="B89" s="81"/>
      <c r="C89" s="27"/>
      <c r="D89" s="27">
        <v>4300</v>
      </c>
      <c r="E89" s="29" t="s">
        <v>268</v>
      </c>
      <c r="F89" s="30">
        <v>9000</v>
      </c>
      <c r="G89" s="82" t="s">
        <v>320</v>
      </c>
    </row>
    <row r="90" spans="2:7" s="19" customFormat="1" ht="22.5" customHeight="1">
      <c r="B90" s="81"/>
      <c r="C90" s="27"/>
      <c r="D90" s="27">
        <v>4410</v>
      </c>
      <c r="E90" s="29" t="s">
        <v>296</v>
      </c>
      <c r="F90" s="30">
        <v>800</v>
      </c>
      <c r="G90" s="82" t="s">
        <v>321</v>
      </c>
    </row>
    <row r="91" spans="2:7" s="19" customFormat="1" ht="24" customHeight="1">
      <c r="B91" s="81"/>
      <c r="C91" s="27"/>
      <c r="D91" s="27">
        <v>4430</v>
      </c>
      <c r="E91" s="29" t="s">
        <v>308</v>
      </c>
      <c r="F91" s="30">
        <v>20000</v>
      </c>
      <c r="G91" s="82" t="s">
        <v>322</v>
      </c>
    </row>
    <row r="92" spans="2:7" s="19" customFormat="1" ht="25.5" customHeight="1" hidden="1">
      <c r="B92" s="81"/>
      <c r="C92" s="27"/>
      <c r="D92" s="27">
        <v>6050</v>
      </c>
      <c r="E92" s="29" t="s">
        <v>271</v>
      </c>
      <c r="F92" s="30"/>
      <c r="G92" s="82"/>
    </row>
    <row r="93" spans="2:7" s="19" customFormat="1" ht="12.75">
      <c r="B93" s="81"/>
      <c r="C93" s="20">
        <v>75414</v>
      </c>
      <c r="D93" s="20"/>
      <c r="E93" s="22" t="s">
        <v>184</v>
      </c>
      <c r="F93" s="23">
        <f>SUM(F94:F97)</f>
        <v>1500</v>
      </c>
      <c r="G93" s="84"/>
    </row>
    <row r="94" spans="2:7" s="19" customFormat="1" ht="12.75" customHeight="1">
      <c r="B94" s="81"/>
      <c r="C94" s="27"/>
      <c r="D94" s="27">
        <v>4170</v>
      </c>
      <c r="E94" s="29" t="s">
        <v>372</v>
      </c>
      <c r="F94" s="30">
        <v>400</v>
      </c>
      <c r="G94" s="361" t="s">
        <v>323</v>
      </c>
    </row>
    <row r="95" spans="2:7" s="19" customFormat="1" ht="12.75">
      <c r="B95" s="81"/>
      <c r="C95" s="27"/>
      <c r="D95" s="27">
        <v>4210</v>
      </c>
      <c r="E95" s="29" t="s">
        <v>264</v>
      </c>
      <c r="F95" s="30">
        <v>500</v>
      </c>
      <c r="G95" s="362"/>
    </row>
    <row r="96" spans="2:7" s="19" customFormat="1" ht="12.75">
      <c r="B96" s="81"/>
      <c r="C96" s="27"/>
      <c r="D96" s="27">
        <v>4300</v>
      </c>
      <c r="E96" s="29" t="s">
        <v>268</v>
      </c>
      <c r="F96" s="30">
        <v>500</v>
      </c>
      <c r="G96" s="362"/>
    </row>
    <row r="97" spans="2:7" s="19" customFormat="1" ht="12.75">
      <c r="B97" s="81"/>
      <c r="C97" s="27"/>
      <c r="D97" s="27">
        <v>4410</v>
      </c>
      <c r="E97" s="29" t="s">
        <v>296</v>
      </c>
      <c r="F97" s="30">
        <v>100</v>
      </c>
      <c r="G97" s="320"/>
    </row>
    <row r="98" spans="2:7" s="19" customFormat="1" ht="38.25">
      <c r="B98" s="90">
        <v>756</v>
      </c>
      <c r="C98" s="91"/>
      <c r="D98" s="91"/>
      <c r="E98" s="92" t="s">
        <v>324</v>
      </c>
      <c r="F98" s="88">
        <f>F99</f>
        <v>37700</v>
      </c>
      <c r="G98" s="89"/>
    </row>
    <row r="99" spans="2:7" s="19" customFormat="1" ht="25.5">
      <c r="B99" s="81"/>
      <c r="C99" s="20">
        <v>75647</v>
      </c>
      <c r="D99" s="20"/>
      <c r="E99" s="22" t="s">
        <v>325</v>
      </c>
      <c r="F99" s="23">
        <f>SUM(F100:F102)</f>
        <v>37700</v>
      </c>
      <c r="G99" s="82"/>
    </row>
    <row r="100" spans="2:7" s="19" customFormat="1" ht="12.75">
      <c r="B100" s="81"/>
      <c r="C100" s="27"/>
      <c r="D100" s="27">
        <v>4100</v>
      </c>
      <c r="E100" s="29" t="s">
        <v>326</v>
      </c>
      <c r="F100" s="30">
        <v>35000</v>
      </c>
      <c r="G100" s="82" t="s">
        <v>327</v>
      </c>
    </row>
    <row r="101" spans="2:7" s="19" customFormat="1" ht="18" customHeight="1">
      <c r="B101" s="81"/>
      <c r="C101" s="27"/>
      <c r="D101" s="27">
        <v>4210</v>
      </c>
      <c r="E101" s="29" t="s">
        <v>264</v>
      </c>
      <c r="F101" s="30">
        <v>200</v>
      </c>
      <c r="G101" s="82" t="s">
        <v>328</v>
      </c>
    </row>
    <row r="102" spans="2:7" s="19" customFormat="1" ht="25.5">
      <c r="B102" s="81"/>
      <c r="C102" s="27"/>
      <c r="D102" s="27">
        <v>4610</v>
      </c>
      <c r="E102" s="29" t="s">
        <v>329</v>
      </c>
      <c r="F102" s="30">
        <v>2500</v>
      </c>
      <c r="G102" s="82" t="s">
        <v>330</v>
      </c>
    </row>
    <row r="103" spans="2:7" s="19" customFormat="1" ht="12.75">
      <c r="B103" s="90">
        <v>757</v>
      </c>
      <c r="C103" s="91"/>
      <c r="D103" s="91"/>
      <c r="E103" s="92" t="s">
        <v>331</v>
      </c>
      <c r="F103" s="88">
        <f>F104</f>
        <v>184478</v>
      </c>
      <c r="G103" s="89"/>
    </row>
    <row r="104" spans="2:7" s="19" customFormat="1" ht="38.25">
      <c r="B104" s="81"/>
      <c r="C104" s="20">
        <v>75702</v>
      </c>
      <c r="D104" s="20"/>
      <c r="E104" s="22" t="s">
        <v>332</v>
      </c>
      <c r="F104" s="23">
        <f>SUM(F105:F106)</f>
        <v>184478</v>
      </c>
      <c r="G104" s="107"/>
    </row>
    <row r="105" spans="2:7" s="19" customFormat="1" ht="38.25">
      <c r="B105" s="81"/>
      <c r="C105" s="27"/>
      <c r="D105" s="27">
        <v>8070</v>
      </c>
      <c r="E105" s="29" t="s">
        <v>333</v>
      </c>
      <c r="F105" s="30">
        <f>159557-79</f>
        <v>159478</v>
      </c>
      <c r="G105" s="107" t="s">
        <v>334</v>
      </c>
    </row>
    <row r="106" spans="2:7" s="19" customFormat="1" ht="38.25">
      <c r="B106" s="81"/>
      <c r="C106" s="27"/>
      <c r="D106" s="27">
        <v>8078</v>
      </c>
      <c r="E106" s="29" t="s">
        <v>333</v>
      </c>
      <c r="F106" s="30">
        <v>25000</v>
      </c>
      <c r="G106" s="107" t="s">
        <v>65</v>
      </c>
    </row>
    <row r="107" spans="2:7" s="19" customFormat="1" ht="12.75">
      <c r="B107" s="90">
        <v>758</v>
      </c>
      <c r="C107" s="91"/>
      <c r="D107" s="91"/>
      <c r="E107" s="92" t="s">
        <v>224</v>
      </c>
      <c r="F107" s="88">
        <f>F108</f>
        <v>100000</v>
      </c>
      <c r="G107" s="89"/>
    </row>
    <row r="108" spans="2:7" s="19" customFormat="1" ht="12.75" customHeight="1">
      <c r="B108" s="81"/>
      <c r="C108" s="20">
        <v>75818</v>
      </c>
      <c r="D108" s="20"/>
      <c r="E108" s="22" t="s">
        <v>335</v>
      </c>
      <c r="F108" s="23">
        <f>SUM(F109:F109)</f>
        <v>100000</v>
      </c>
      <c r="G108" s="361" t="s">
        <v>567</v>
      </c>
    </row>
    <row r="109" spans="2:7" s="19" customFormat="1" ht="13.5" customHeight="1">
      <c r="B109" s="81"/>
      <c r="C109" s="27"/>
      <c r="D109" s="27">
        <v>4810</v>
      </c>
      <c r="E109" s="29" t="s">
        <v>336</v>
      </c>
      <c r="F109" s="30">
        <v>100000</v>
      </c>
      <c r="G109" s="320"/>
    </row>
    <row r="110" spans="2:7" s="19" customFormat="1" ht="12.75">
      <c r="B110" s="90">
        <v>801</v>
      </c>
      <c r="C110" s="91"/>
      <c r="D110" s="91"/>
      <c r="E110" s="92" t="s">
        <v>230</v>
      </c>
      <c r="F110" s="88">
        <f>F111+F140+F155+F171+F179+F192+F190+F127</f>
        <v>11312122</v>
      </c>
      <c r="G110" s="89"/>
    </row>
    <row r="111" spans="2:7" s="19" customFormat="1" ht="12.75">
      <c r="B111" s="81"/>
      <c r="C111" s="20">
        <v>80101</v>
      </c>
      <c r="D111" s="20"/>
      <c r="E111" s="22" t="s">
        <v>231</v>
      </c>
      <c r="F111" s="23">
        <f>SUM(F112:F126)</f>
        <v>2617230</v>
      </c>
      <c r="G111" s="84"/>
    </row>
    <row r="112" spans="2:7" s="19" customFormat="1" ht="45" customHeight="1">
      <c r="B112" s="81"/>
      <c r="C112" s="27"/>
      <c r="D112" s="27">
        <v>3020</v>
      </c>
      <c r="E112" s="29" t="s">
        <v>300</v>
      </c>
      <c r="F112" s="30">
        <v>95000</v>
      </c>
      <c r="G112" s="84" t="s">
        <v>66</v>
      </c>
    </row>
    <row r="113" spans="2:7" s="19" customFormat="1" ht="12.75" customHeight="1" hidden="1">
      <c r="B113" s="81"/>
      <c r="C113" s="27"/>
      <c r="D113" s="27">
        <v>3260</v>
      </c>
      <c r="E113" s="29" t="s">
        <v>67</v>
      </c>
      <c r="F113" s="30"/>
      <c r="G113" s="84"/>
    </row>
    <row r="114" spans="2:7" s="19" customFormat="1" ht="39.75" customHeight="1">
      <c r="B114" s="81"/>
      <c r="C114" s="27"/>
      <c r="D114" s="27">
        <v>4010</v>
      </c>
      <c r="E114" s="29" t="s">
        <v>290</v>
      </c>
      <c r="F114" s="30">
        <v>1514500</v>
      </c>
      <c r="G114" s="84" t="s">
        <v>68</v>
      </c>
    </row>
    <row r="115" spans="2:7" s="19" customFormat="1" ht="12.75">
      <c r="B115" s="81"/>
      <c r="C115" s="27"/>
      <c r="D115" s="27">
        <v>4040</v>
      </c>
      <c r="E115" s="29" t="s">
        <v>302</v>
      </c>
      <c r="F115" s="30">
        <v>140850</v>
      </c>
      <c r="G115" s="84"/>
    </row>
    <row r="116" spans="2:7" s="19" customFormat="1" ht="12.75">
      <c r="B116" s="81"/>
      <c r="C116" s="27"/>
      <c r="D116" s="27">
        <v>4110</v>
      </c>
      <c r="E116" s="29" t="s">
        <v>292</v>
      </c>
      <c r="F116" s="30">
        <v>317000</v>
      </c>
      <c r="G116" s="84"/>
    </row>
    <row r="117" spans="2:7" s="19" customFormat="1" ht="12.75">
      <c r="B117" s="81"/>
      <c r="C117" s="27"/>
      <c r="D117" s="27">
        <v>4120</v>
      </c>
      <c r="E117" s="29" t="s">
        <v>303</v>
      </c>
      <c r="F117" s="30">
        <v>43200</v>
      </c>
      <c r="G117" s="84"/>
    </row>
    <row r="118" spans="2:7" s="19" customFormat="1" ht="42" customHeight="1">
      <c r="B118" s="81"/>
      <c r="C118" s="27"/>
      <c r="D118" s="27">
        <v>4210</v>
      </c>
      <c r="E118" s="29" t="s">
        <v>264</v>
      </c>
      <c r="F118" s="30">
        <v>183900</v>
      </c>
      <c r="G118" s="84" t="s">
        <v>69</v>
      </c>
    </row>
    <row r="119" spans="2:7" s="19" customFormat="1" ht="12.75">
      <c r="B119" s="81"/>
      <c r="C119" s="27"/>
      <c r="D119" s="27">
        <v>4240</v>
      </c>
      <c r="E119" s="29" t="s">
        <v>338</v>
      </c>
      <c r="F119" s="30">
        <v>5600</v>
      </c>
      <c r="G119" s="84" t="s">
        <v>339</v>
      </c>
    </row>
    <row r="120" spans="2:7" s="19" customFormat="1" ht="25.5">
      <c r="B120" s="81"/>
      <c r="C120" s="27"/>
      <c r="D120" s="27">
        <v>4260</v>
      </c>
      <c r="E120" s="29" t="s">
        <v>305</v>
      </c>
      <c r="F120" s="30">
        <v>130300</v>
      </c>
      <c r="G120" s="84" t="s">
        <v>70</v>
      </c>
    </row>
    <row r="121" spans="2:7" s="19" customFormat="1" ht="12.75">
      <c r="B121" s="81"/>
      <c r="C121" s="27"/>
      <c r="D121" s="27">
        <v>4270</v>
      </c>
      <c r="E121" s="29" t="s">
        <v>266</v>
      </c>
      <c r="F121" s="30">
        <v>14500</v>
      </c>
      <c r="G121" s="84" t="s">
        <v>71</v>
      </c>
    </row>
    <row r="122" spans="2:7" s="19" customFormat="1" ht="38.25">
      <c r="B122" s="81"/>
      <c r="C122" s="27"/>
      <c r="D122" s="27">
        <v>4300</v>
      </c>
      <c r="E122" s="29" t="s">
        <v>268</v>
      </c>
      <c r="F122" s="30">
        <v>60000</v>
      </c>
      <c r="G122" s="84" t="s">
        <v>340</v>
      </c>
    </row>
    <row r="123" spans="2:7" s="19" customFormat="1" ht="25.5">
      <c r="B123" s="81"/>
      <c r="C123" s="27"/>
      <c r="D123" s="27">
        <v>4350</v>
      </c>
      <c r="E123" s="29" t="s">
        <v>72</v>
      </c>
      <c r="F123" s="30">
        <v>5450</v>
      </c>
      <c r="G123" s="84" t="s">
        <v>73</v>
      </c>
    </row>
    <row r="124" spans="2:7" s="19" customFormat="1" ht="15" customHeight="1">
      <c r="B124" s="81"/>
      <c r="C124" s="27"/>
      <c r="D124" s="27">
        <v>4410</v>
      </c>
      <c r="E124" s="29" t="s">
        <v>296</v>
      </c>
      <c r="F124" s="30">
        <v>5500</v>
      </c>
      <c r="G124" s="84" t="s">
        <v>341</v>
      </c>
    </row>
    <row r="125" spans="2:7" s="19" customFormat="1" ht="15" customHeight="1">
      <c r="B125" s="81"/>
      <c r="C125" s="27"/>
      <c r="D125" s="27">
        <v>4430</v>
      </c>
      <c r="E125" s="29" t="s">
        <v>74</v>
      </c>
      <c r="F125" s="30">
        <v>3300</v>
      </c>
      <c r="G125" s="84" t="s">
        <v>75</v>
      </c>
    </row>
    <row r="126" spans="2:7" s="19" customFormat="1" ht="25.5">
      <c r="B126" s="81"/>
      <c r="C126" s="27"/>
      <c r="D126" s="27">
        <v>4440</v>
      </c>
      <c r="E126" s="29" t="s">
        <v>309</v>
      </c>
      <c r="F126" s="30">
        <v>98130</v>
      </c>
      <c r="G126" s="84" t="s">
        <v>342</v>
      </c>
    </row>
    <row r="127" spans="2:7" s="19" customFormat="1" ht="25.5">
      <c r="B127" s="81"/>
      <c r="C127" s="20">
        <v>80103</v>
      </c>
      <c r="D127" s="20"/>
      <c r="E127" s="22" t="s">
        <v>76</v>
      </c>
      <c r="F127" s="23">
        <f>SUM(F128:F139)</f>
        <v>285440</v>
      </c>
      <c r="G127" s="84"/>
    </row>
    <row r="128" spans="2:7" s="19" customFormat="1" ht="49.5" customHeight="1">
      <c r="B128" s="81"/>
      <c r="C128" s="27"/>
      <c r="D128" s="27">
        <v>3020</v>
      </c>
      <c r="E128" s="29" t="s">
        <v>300</v>
      </c>
      <c r="F128" s="30">
        <v>7000</v>
      </c>
      <c r="G128" s="84" t="s">
        <v>66</v>
      </c>
    </row>
    <row r="129" spans="2:7" s="19" customFormat="1" ht="37.5" customHeight="1">
      <c r="B129" s="81"/>
      <c r="C129" s="27"/>
      <c r="D129" s="27">
        <v>4010</v>
      </c>
      <c r="E129" s="29" t="s">
        <v>290</v>
      </c>
      <c r="F129" s="30">
        <v>189700</v>
      </c>
      <c r="G129" s="84" t="s">
        <v>68</v>
      </c>
    </row>
    <row r="130" spans="2:7" s="19" customFormat="1" ht="12.75">
      <c r="B130" s="81"/>
      <c r="C130" s="27"/>
      <c r="D130" s="27">
        <v>4040</v>
      </c>
      <c r="E130" s="29" t="s">
        <v>302</v>
      </c>
      <c r="F130" s="30">
        <v>15110</v>
      </c>
      <c r="G130" s="84"/>
    </row>
    <row r="131" spans="2:7" s="19" customFormat="1" ht="12.75">
      <c r="B131" s="81"/>
      <c r="C131" s="27"/>
      <c r="D131" s="27">
        <v>4110</v>
      </c>
      <c r="E131" s="29" t="s">
        <v>292</v>
      </c>
      <c r="F131" s="30">
        <v>31850</v>
      </c>
      <c r="G131" s="84"/>
    </row>
    <row r="132" spans="2:7" s="19" customFormat="1" ht="12.75">
      <c r="B132" s="81"/>
      <c r="C132" s="27"/>
      <c r="D132" s="27">
        <v>4120</v>
      </c>
      <c r="E132" s="29" t="s">
        <v>303</v>
      </c>
      <c r="F132" s="30">
        <v>4340</v>
      </c>
      <c r="G132" s="84"/>
    </row>
    <row r="133" spans="2:7" s="19" customFormat="1" ht="12.75">
      <c r="B133" s="81"/>
      <c r="C133" s="27"/>
      <c r="D133" s="27">
        <v>4210</v>
      </c>
      <c r="E133" s="29" t="s">
        <v>264</v>
      </c>
      <c r="F133" s="30">
        <v>7000</v>
      </c>
      <c r="G133" s="84" t="s">
        <v>77</v>
      </c>
    </row>
    <row r="134" spans="2:7" s="19" customFormat="1" ht="28.5" customHeight="1">
      <c r="B134" s="81"/>
      <c r="C134" s="27"/>
      <c r="D134" s="27">
        <v>4240</v>
      </c>
      <c r="E134" s="29" t="s">
        <v>338</v>
      </c>
      <c r="F134" s="30">
        <v>1800</v>
      </c>
      <c r="G134" s="84" t="s">
        <v>346</v>
      </c>
    </row>
    <row r="135" spans="2:7" s="19" customFormat="1" ht="16.5" customHeight="1">
      <c r="B135" s="81"/>
      <c r="C135" s="27"/>
      <c r="D135" s="27">
        <v>4260</v>
      </c>
      <c r="E135" s="29" t="s">
        <v>305</v>
      </c>
      <c r="F135" s="30">
        <v>9000</v>
      </c>
      <c r="G135" s="84" t="s">
        <v>78</v>
      </c>
    </row>
    <row r="136" spans="2:7" s="19" customFormat="1" ht="19.5" customHeight="1">
      <c r="B136" s="81"/>
      <c r="C136" s="27"/>
      <c r="D136" s="27">
        <v>4270</v>
      </c>
      <c r="E136" s="29" t="s">
        <v>266</v>
      </c>
      <c r="F136" s="30">
        <v>1000</v>
      </c>
      <c r="G136" s="84" t="s">
        <v>79</v>
      </c>
    </row>
    <row r="137" spans="2:7" s="19" customFormat="1" ht="30.75" customHeight="1">
      <c r="B137" s="81"/>
      <c r="C137" s="27"/>
      <c r="D137" s="27">
        <v>4300</v>
      </c>
      <c r="E137" s="29" t="s">
        <v>268</v>
      </c>
      <c r="F137" s="30">
        <v>5000</v>
      </c>
      <c r="G137" s="84" t="s">
        <v>80</v>
      </c>
    </row>
    <row r="138" spans="2:7" s="19" customFormat="1" ht="15.75" customHeight="1">
      <c r="B138" s="81"/>
      <c r="C138" s="27"/>
      <c r="D138" s="27">
        <v>4410</v>
      </c>
      <c r="E138" s="29" t="s">
        <v>296</v>
      </c>
      <c r="F138" s="30">
        <v>1000</v>
      </c>
      <c r="G138" s="84" t="s">
        <v>81</v>
      </c>
    </row>
    <row r="139" spans="2:7" s="19" customFormat="1" ht="25.5">
      <c r="B139" s="81"/>
      <c r="C139" s="27"/>
      <c r="D139" s="27">
        <v>4440</v>
      </c>
      <c r="E139" s="29" t="s">
        <v>309</v>
      </c>
      <c r="F139" s="30">
        <v>12640</v>
      </c>
      <c r="G139" s="84" t="s">
        <v>342</v>
      </c>
    </row>
    <row r="140" spans="2:7" s="19" customFormat="1" ht="12.75">
      <c r="B140" s="81"/>
      <c r="C140" s="20">
        <v>80104</v>
      </c>
      <c r="D140" s="20"/>
      <c r="E140" s="22" t="s">
        <v>232</v>
      </c>
      <c r="F140" s="23">
        <f>SUM(F141:F154)</f>
        <v>795370</v>
      </c>
      <c r="G140" s="84"/>
    </row>
    <row r="141" spans="2:7" s="19" customFormat="1" ht="69" customHeight="1">
      <c r="B141" s="85"/>
      <c r="C141" s="27"/>
      <c r="D141" s="27">
        <v>2540</v>
      </c>
      <c r="E141" s="29" t="s">
        <v>344</v>
      </c>
      <c r="F141" s="30">
        <v>170400</v>
      </c>
      <c r="G141" s="84" t="s">
        <v>82</v>
      </c>
    </row>
    <row r="142" spans="2:7" s="19" customFormat="1" ht="38.25" customHeight="1">
      <c r="B142" s="81"/>
      <c r="C142" s="27"/>
      <c r="D142" s="27">
        <v>3020</v>
      </c>
      <c r="E142" s="29" t="s">
        <v>300</v>
      </c>
      <c r="F142" s="30">
        <v>19000</v>
      </c>
      <c r="G142" s="84" t="s">
        <v>337</v>
      </c>
    </row>
    <row r="143" spans="2:7" s="19" customFormat="1" ht="32.25" customHeight="1">
      <c r="B143" s="81"/>
      <c r="C143" s="27"/>
      <c r="D143" s="27">
        <v>4010</v>
      </c>
      <c r="E143" s="29" t="s">
        <v>290</v>
      </c>
      <c r="F143" s="30">
        <v>382000</v>
      </c>
      <c r="G143" s="84" t="s">
        <v>68</v>
      </c>
    </row>
    <row r="144" spans="2:7" s="19" customFormat="1" ht="12.75">
      <c r="B144" s="81"/>
      <c r="C144" s="27"/>
      <c r="D144" s="27">
        <v>4040</v>
      </c>
      <c r="E144" s="29" t="s">
        <v>302</v>
      </c>
      <c r="F144" s="30">
        <v>31750</v>
      </c>
      <c r="G144" s="84"/>
    </row>
    <row r="145" spans="2:7" s="19" customFormat="1" ht="12.75">
      <c r="B145" s="81"/>
      <c r="C145" s="27"/>
      <c r="D145" s="27">
        <v>4110</v>
      </c>
      <c r="E145" s="29" t="s">
        <v>292</v>
      </c>
      <c r="F145" s="30">
        <v>77900</v>
      </c>
      <c r="G145" s="84"/>
    </row>
    <row r="146" spans="2:7" s="19" customFormat="1" ht="12.75">
      <c r="B146" s="81"/>
      <c r="C146" s="27"/>
      <c r="D146" s="27">
        <v>4120</v>
      </c>
      <c r="E146" s="29" t="s">
        <v>303</v>
      </c>
      <c r="F146" s="30">
        <v>10800</v>
      </c>
      <c r="G146" s="84"/>
    </row>
    <row r="147" spans="2:7" s="19" customFormat="1" ht="31.5" customHeight="1">
      <c r="B147" s="81"/>
      <c r="C147" s="27"/>
      <c r="D147" s="27">
        <v>4210</v>
      </c>
      <c r="E147" s="29" t="s">
        <v>264</v>
      </c>
      <c r="F147" s="30">
        <v>17000</v>
      </c>
      <c r="G147" s="84" t="s">
        <v>345</v>
      </c>
    </row>
    <row r="148" spans="2:7" s="19" customFormat="1" ht="33.75" customHeight="1">
      <c r="B148" s="81"/>
      <c r="C148" s="27"/>
      <c r="D148" s="27">
        <v>4240</v>
      </c>
      <c r="E148" s="29" t="s">
        <v>338</v>
      </c>
      <c r="F148" s="30">
        <v>2600</v>
      </c>
      <c r="G148" s="84" t="s">
        <v>346</v>
      </c>
    </row>
    <row r="149" spans="2:7" s="19" customFormat="1" ht="12.75">
      <c r="B149" s="81"/>
      <c r="C149" s="27"/>
      <c r="D149" s="27">
        <v>4260</v>
      </c>
      <c r="E149" s="29" t="s">
        <v>305</v>
      </c>
      <c r="F149" s="30">
        <v>45300</v>
      </c>
      <c r="G149" s="84" t="s">
        <v>78</v>
      </c>
    </row>
    <row r="150" spans="2:7" s="19" customFormat="1" ht="12.75" customHeight="1">
      <c r="B150" s="81"/>
      <c r="C150" s="27"/>
      <c r="D150" s="27">
        <v>4270</v>
      </c>
      <c r="E150" s="29" t="s">
        <v>266</v>
      </c>
      <c r="F150" s="30">
        <v>3000</v>
      </c>
      <c r="G150" s="84" t="s">
        <v>83</v>
      </c>
    </row>
    <row r="151" spans="2:7" s="19" customFormat="1" ht="31.5" customHeight="1">
      <c r="B151" s="81"/>
      <c r="C151" s="27"/>
      <c r="D151" s="27">
        <v>4300</v>
      </c>
      <c r="E151" s="29" t="s">
        <v>268</v>
      </c>
      <c r="F151" s="30">
        <v>11000</v>
      </c>
      <c r="G151" s="84" t="s">
        <v>80</v>
      </c>
    </row>
    <row r="152" spans="2:7" s="19" customFormat="1" ht="15.75" customHeight="1">
      <c r="B152" s="81"/>
      <c r="C152" s="27"/>
      <c r="D152" s="27">
        <v>4410</v>
      </c>
      <c r="E152" s="29" t="s">
        <v>296</v>
      </c>
      <c r="F152" s="30">
        <v>1000</v>
      </c>
      <c r="G152" s="84" t="s">
        <v>347</v>
      </c>
    </row>
    <row r="153" spans="2:7" s="19" customFormat="1" ht="15.75" customHeight="1">
      <c r="B153" s="81"/>
      <c r="C153" s="27"/>
      <c r="D153" s="27">
        <v>4430</v>
      </c>
      <c r="E153" s="29" t="s">
        <v>74</v>
      </c>
      <c r="F153" s="30">
        <v>500</v>
      </c>
      <c r="G153" s="84" t="s">
        <v>84</v>
      </c>
    </row>
    <row r="154" spans="2:7" s="19" customFormat="1" ht="30.75" customHeight="1">
      <c r="B154" s="81"/>
      <c r="C154" s="27"/>
      <c r="D154" s="27">
        <v>4440</v>
      </c>
      <c r="E154" s="29" t="s">
        <v>309</v>
      </c>
      <c r="F154" s="30">
        <v>23120</v>
      </c>
      <c r="G154" s="84" t="s">
        <v>342</v>
      </c>
    </row>
    <row r="155" spans="2:7" s="19" customFormat="1" ht="12.75">
      <c r="B155" s="81"/>
      <c r="C155" s="20">
        <v>80110</v>
      </c>
      <c r="D155" s="20"/>
      <c r="E155" s="22" t="s">
        <v>235</v>
      </c>
      <c r="F155" s="23">
        <f>SUM(F156:F170)</f>
        <v>7104577</v>
      </c>
      <c r="G155" s="84"/>
    </row>
    <row r="156" spans="2:7" s="19" customFormat="1" ht="45.75" customHeight="1">
      <c r="B156" s="81"/>
      <c r="C156" s="20"/>
      <c r="D156" s="27">
        <v>3020</v>
      </c>
      <c r="E156" s="29" t="s">
        <v>300</v>
      </c>
      <c r="F156" s="30">
        <v>71500</v>
      </c>
      <c r="G156" s="84" t="s">
        <v>337</v>
      </c>
    </row>
    <row r="157" spans="2:7" s="19" customFormat="1" ht="12.75">
      <c r="B157" s="81"/>
      <c r="C157" s="20"/>
      <c r="D157" s="27">
        <v>4010</v>
      </c>
      <c r="E157" s="29" t="s">
        <v>290</v>
      </c>
      <c r="F157" s="30">
        <v>870450</v>
      </c>
      <c r="G157" s="84" t="s">
        <v>348</v>
      </c>
    </row>
    <row r="158" spans="2:7" s="19" customFormat="1" ht="12.75">
      <c r="B158" s="81"/>
      <c r="C158" s="20"/>
      <c r="D158" s="27">
        <v>4040</v>
      </c>
      <c r="E158" s="29" t="s">
        <v>302</v>
      </c>
      <c r="F158" s="30">
        <v>74350</v>
      </c>
      <c r="G158" s="84"/>
    </row>
    <row r="159" spans="2:7" s="19" customFormat="1" ht="12.75">
      <c r="B159" s="81"/>
      <c r="C159" s="20"/>
      <c r="D159" s="27">
        <v>4110</v>
      </c>
      <c r="E159" s="29" t="s">
        <v>292</v>
      </c>
      <c r="F159" s="30">
        <v>184300</v>
      </c>
      <c r="G159" s="84"/>
    </row>
    <row r="160" spans="2:7" s="19" customFormat="1" ht="12.75">
      <c r="B160" s="81"/>
      <c r="C160" s="20"/>
      <c r="D160" s="27">
        <v>4120</v>
      </c>
      <c r="E160" s="29" t="s">
        <v>303</v>
      </c>
      <c r="F160" s="30">
        <v>25100</v>
      </c>
      <c r="G160" s="84"/>
    </row>
    <row r="161" spans="2:7" s="19" customFormat="1" ht="30" customHeight="1">
      <c r="B161" s="81"/>
      <c r="C161" s="20"/>
      <c r="D161" s="27">
        <v>4210</v>
      </c>
      <c r="E161" s="29" t="s">
        <v>264</v>
      </c>
      <c r="F161" s="30">
        <v>10000</v>
      </c>
      <c r="G161" s="84" t="s">
        <v>349</v>
      </c>
    </row>
    <row r="162" spans="2:7" s="19" customFormat="1" ht="12.75">
      <c r="B162" s="81"/>
      <c r="C162" s="20"/>
      <c r="D162" s="27">
        <v>4240</v>
      </c>
      <c r="E162" s="29" t="s">
        <v>338</v>
      </c>
      <c r="F162" s="30">
        <v>3200</v>
      </c>
      <c r="G162" s="84" t="s">
        <v>350</v>
      </c>
    </row>
    <row r="163" spans="2:7" s="19" customFormat="1" ht="22.5" customHeight="1">
      <c r="B163" s="81"/>
      <c r="C163" s="20"/>
      <c r="D163" s="27">
        <v>4260</v>
      </c>
      <c r="E163" s="29" t="s">
        <v>305</v>
      </c>
      <c r="F163" s="30">
        <v>40000</v>
      </c>
      <c r="G163" s="84" t="s">
        <v>85</v>
      </c>
    </row>
    <row r="164" spans="2:7" s="19" customFormat="1" ht="30.75" customHeight="1">
      <c r="B164" s="81"/>
      <c r="C164" s="20"/>
      <c r="D164" s="27">
        <v>4300</v>
      </c>
      <c r="E164" s="29" t="s">
        <v>268</v>
      </c>
      <c r="F164" s="30">
        <v>10000</v>
      </c>
      <c r="G164" s="84" t="s">
        <v>351</v>
      </c>
    </row>
    <row r="165" spans="2:7" s="19" customFormat="1" ht="12.75">
      <c r="B165" s="81"/>
      <c r="C165" s="20"/>
      <c r="D165" s="27">
        <v>4350</v>
      </c>
      <c r="E165" s="29" t="s">
        <v>72</v>
      </c>
      <c r="F165" s="30">
        <v>750</v>
      </c>
      <c r="G165" s="84" t="s">
        <v>86</v>
      </c>
    </row>
    <row r="166" spans="2:7" s="19" customFormat="1" ht="22.5" customHeight="1">
      <c r="B166" s="81"/>
      <c r="C166" s="20"/>
      <c r="D166" s="27">
        <v>4410</v>
      </c>
      <c r="E166" s="29" t="s">
        <v>296</v>
      </c>
      <c r="F166" s="30">
        <v>2500</v>
      </c>
      <c r="G166" s="84" t="s">
        <v>347</v>
      </c>
    </row>
    <row r="167" spans="2:7" s="19" customFormat="1" ht="19.5" customHeight="1">
      <c r="B167" s="81"/>
      <c r="C167" s="20"/>
      <c r="D167" s="27">
        <v>4430</v>
      </c>
      <c r="E167" s="29" t="s">
        <v>74</v>
      </c>
      <c r="F167" s="30">
        <v>6200</v>
      </c>
      <c r="G167" s="84" t="s">
        <v>84</v>
      </c>
    </row>
    <row r="168" spans="2:7" s="19" customFormat="1" ht="25.5">
      <c r="B168" s="81"/>
      <c r="C168" s="20"/>
      <c r="D168" s="27">
        <v>4440</v>
      </c>
      <c r="E168" s="29" t="s">
        <v>309</v>
      </c>
      <c r="F168" s="30">
        <v>63520</v>
      </c>
      <c r="G168" s="84" t="s">
        <v>342</v>
      </c>
    </row>
    <row r="169" spans="2:7" s="19" customFormat="1" ht="25.5">
      <c r="B169" s="81"/>
      <c r="C169" s="20"/>
      <c r="D169" s="27">
        <v>6058</v>
      </c>
      <c r="E169" s="29" t="s">
        <v>271</v>
      </c>
      <c r="F169" s="30">
        <f>3380587</f>
        <v>3380587</v>
      </c>
      <c r="G169" s="84" t="s">
        <v>87</v>
      </c>
    </row>
    <row r="170" spans="2:7" s="19" customFormat="1" ht="29.25" customHeight="1">
      <c r="B170" s="81"/>
      <c r="C170" s="20"/>
      <c r="D170" s="27">
        <v>6059</v>
      </c>
      <c r="E170" s="29" t="s">
        <v>271</v>
      </c>
      <c r="F170" s="30">
        <f>2100222+261898</f>
        <v>2362120</v>
      </c>
      <c r="G170" s="84" t="s">
        <v>88</v>
      </c>
    </row>
    <row r="171" spans="2:7" s="19" customFormat="1" ht="12.75">
      <c r="B171" s="81"/>
      <c r="C171" s="20">
        <v>80113</v>
      </c>
      <c r="D171" s="20"/>
      <c r="E171" s="22" t="s">
        <v>240</v>
      </c>
      <c r="F171" s="23">
        <f>SUM(F172:F178)</f>
        <v>285850</v>
      </c>
      <c r="G171" s="84"/>
    </row>
    <row r="172" spans="2:7" s="19" customFormat="1" ht="25.5">
      <c r="B172" s="81"/>
      <c r="C172" s="20"/>
      <c r="D172" s="27">
        <v>3020</v>
      </c>
      <c r="E172" s="29" t="s">
        <v>300</v>
      </c>
      <c r="F172" s="30">
        <v>250</v>
      </c>
      <c r="G172" s="181" t="s">
        <v>89</v>
      </c>
    </row>
    <row r="173" spans="2:7" s="19" customFormat="1" ht="12.75">
      <c r="B173" s="81"/>
      <c r="C173" s="20"/>
      <c r="D173" s="27">
        <v>4010</v>
      </c>
      <c r="E173" s="29" t="s">
        <v>290</v>
      </c>
      <c r="F173" s="30">
        <v>12000</v>
      </c>
      <c r="G173" s="361" t="s">
        <v>352</v>
      </c>
    </row>
    <row r="174" spans="2:7" s="19" customFormat="1" ht="12.75">
      <c r="B174" s="81"/>
      <c r="C174" s="20"/>
      <c r="D174" s="27">
        <v>4040</v>
      </c>
      <c r="E174" s="29" t="s">
        <v>302</v>
      </c>
      <c r="F174" s="30">
        <v>2200</v>
      </c>
      <c r="G174" s="362"/>
    </row>
    <row r="175" spans="2:7" s="19" customFormat="1" ht="12.75">
      <c r="B175" s="81"/>
      <c r="C175" s="20"/>
      <c r="D175" s="27">
        <v>4110</v>
      </c>
      <c r="E175" s="29" t="s">
        <v>292</v>
      </c>
      <c r="F175" s="30">
        <v>2600</v>
      </c>
      <c r="G175" s="362"/>
    </row>
    <row r="176" spans="2:7" s="19" customFormat="1" ht="12.75">
      <c r="B176" s="81"/>
      <c r="C176" s="20"/>
      <c r="D176" s="27">
        <v>4120</v>
      </c>
      <c r="E176" s="29" t="s">
        <v>303</v>
      </c>
      <c r="F176" s="30">
        <v>300</v>
      </c>
      <c r="G176" s="320"/>
    </row>
    <row r="177" spans="2:7" s="19" customFormat="1" ht="44.25" customHeight="1">
      <c r="B177" s="81"/>
      <c r="C177" s="27"/>
      <c r="D177" s="27">
        <v>4300</v>
      </c>
      <c r="E177" s="29" t="s">
        <v>268</v>
      </c>
      <c r="F177" s="30">
        <v>267000</v>
      </c>
      <c r="G177" s="84" t="s">
        <v>90</v>
      </c>
    </row>
    <row r="178" spans="2:7" s="19" customFormat="1" ht="30.75" customHeight="1">
      <c r="B178" s="81"/>
      <c r="C178" s="27"/>
      <c r="D178" s="27">
        <v>4440</v>
      </c>
      <c r="E178" s="29" t="s">
        <v>309</v>
      </c>
      <c r="F178" s="30">
        <v>1500</v>
      </c>
      <c r="G178" s="84" t="s">
        <v>342</v>
      </c>
    </row>
    <row r="179" spans="2:7" s="19" customFormat="1" ht="25.5">
      <c r="B179" s="81"/>
      <c r="C179" s="20">
        <v>80114</v>
      </c>
      <c r="D179" s="20"/>
      <c r="E179" s="22" t="s">
        <v>353</v>
      </c>
      <c r="F179" s="23">
        <f>SUM(F180:F189)</f>
        <v>168600</v>
      </c>
      <c r="G179" s="84"/>
    </row>
    <row r="180" spans="2:7" s="19" customFormat="1" ht="25.5">
      <c r="B180" s="81"/>
      <c r="C180" s="27"/>
      <c r="D180" s="27">
        <v>3020</v>
      </c>
      <c r="E180" s="29" t="s">
        <v>300</v>
      </c>
      <c r="F180" s="30">
        <v>400</v>
      </c>
      <c r="G180" s="84" t="s">
        <v>354</v>
      </c>
    </row>
    <row r="181" spans="2:7" s="19" customFormat="1" ht="50.25" customHeight="1">
      <c r="B181" s="81"/>
      <c r="C181" s="27"/>
      <c r="D181" s="27">
        <v>4010</v>
      </c>
      <c r="E181" s="29" t="s">
        <v>290</v>
      </c>
      <c r="F181" s="30">
        <v>111000</v>
      </c>
      <c r="G181" s="84" t="s">
        <v>91</v>
      </c>
    </row>
    <row r="182" spans="2:7" s="19" customFormat="1" ht="12.75">
      <c r="B182" s="81"/>
      <c r="C182" s="27"/>
      <c r="D182" s="27">
        <v>4040</v>
      </c>
      <c r="E182" s="29" t="s">
        <v>302</v>
      </c>
      <c r="F182" s="30">
        <v>8200</v>
      </c>
      <c r="G182" s="84"/>
    </row>
    <row r="183" spans="2:7" s="19" customFormat="1" ht="12.75">
      <c r="B183" s="81"/>
      <c r="C183" s="27"/>
      <c r="D183" s="27">
        <v>4110</v>
      </c>
      <c r="E183" s="29" t="s">
        <v>292</v>
      </c>
      <c r="F183" s="30">
        <v>22200</v>
      </c>
      <c r="G183" s="84"/>
    </row>
    <row r="184" spans="2:7" s="19" customFormat="1" ht="12.75">
      <c r="B184" s="81"/>
      <c r="C184" s="27"/>
      <c r="D184" s="27">
        <v>4120</v>
      </c>
      <c r="E184" s="29" t="s">
        <v>303</v>
      </c>
      <c r="F184" s="30">
        <v>3000</v>
      </c>
      <c r="G184" s="84"/>
    </row>
    <row r="185" spans="2:7" s="19" customFormat="1" ht="35.25" customHeight="1">
      <c r="B185" s="81"/>
      <c r="C185" s="27"/>
      <c r="D185" s="27">
        <v>4210</v>
      </c>
      <c r="E185" s="29" t="s">
        <v>264</v>
      </c>
      <c r="F185" s="30">
        <v>10000</v>
      </c>
      <c r="G185" s="84" t="s">
        <v>92</v>
      </c>
    </row>
    <row r="186" spans="2:7" s="19" customFormat="1" ht="17.25" customHeight="1">
      <c r="B186" s="81"/>
      <c r="C186" s="27"/>
      <c r="D186" s="27">
        <v>4270</v>
      </c>
      <c r="E186" s="29" t="s">
        <v>266</v>
      </c>
      <c r="F186" s="30">
        <v>3500</v>
      </c>
      <c r="G186" s="84" t="s">
        <v>355</v>
      </c>
    </row>
    <row r="187" spans="2:7" s="19" customFormat="1" ht="33.75" customHeight="1">
      <c r="B187" s="81"/>
      <c r="C187" s="27"/>
      <c r="D187" s="27">
        <v>4300</v>
      </c>
      <c r="E187" s="29" t="s">
        <v>268</v>
      </c>
      <c r="F187" s="30">
        <v>7000</v>
      </c>
      <c r="G187" s="84" t="s">
        <v>356</v>
      </c>
    </row>
    <row r="188" spans="2:7" s="19" customFormat="1" ht="15.75" customHeight="1">
      <c r="B188" s="81"/>
      <c r="C188" s="27"/>
      <c r="D188" s="27">
        <v>4410</v>
      </c>
      <c r="E188" s="29" t="s">
        <v>296</v>
      </c>
      <c r="F188" s="30">
        <v>400</v>
      </c>
      <c r="G188" s="84" t="s">
        <v>357</v>
      </c>
    </row>
    <row r="189" spans="2:7" s="19" customFormat="1" ht="29.25" customHeight="1">
      <c r="B189" s="81"/>
      <c r="C189" s="27"/>
      <c r="D189" s="27">
        <v>4440</v>
      </c>
      <c r="E189" s="29" t="s">
        <v>309</v>
      </c>
      <c r="F189" s="30">
        <v>2900</v>
      </c>
      <c r="G189" s="84" t="s">
        <v>342</v>
      </c>
    </row>
    <row r="190" spans="2:7" s="19" customFormat="1" ht="36" customHeight="1">
      <c r="B190" s="81"/>
      <c r="C190" s="20">
        <v>80146</v>
      </c>
      <c r="D190" s="20"/>
      <c r="E190" s="22" t="s">
        <v>358</v>
      </c>
      <c r="F190" s="23">
        <f>F191</f>
        <v>20000</v>
      </c>
      <c r="G190" s="361" t="s">
        <v>568</v>
      </c>
    </row>
    <row r="191" spans="2:7" s="19" customFormat="1" ht="41.25" customHeight="1">
      <c r="B191" s="81"/>
      <c r="C191" s="27"/>
      <c r="D191" s="27">
        <v>4300</v>
      </c>
      <c r="E191" s="29" t="s">
        <v>268</v>
      </c>
      <c r="F191" s="30">
        <v>20000</v>
      </c>
      <c r="G191" s="320"/>
    </row>
    <row r="192" spans="2:7" s="19" customFormat="1" ht="12.75">
      <c r="B192" s="81"/>
      <c r="C192" s="20">
        <v>80195</v>
      </c>
      <c r="D192" s="20"/>
      <c r="E192" s="22" t="s">
        <v>152</v>
      </c>
      <c r="F192" s="23">
        <f>SUM(F194)</f>
        <v>35055</v>
      </c>
      <c r="G192" s="84"/>
    </row>
    <row r="193" spans="2:7" s="19" customFormat="1" ht="12.75" customHeight="1" hidden="1">
      <c r="B193" s="85"/>
      <c r="C193" s="27"/>
      <c r="D193" s="27">
        <v>4300</v>
      </c>
      <c r="E193" s="29" t="s">
        <v>268</v>
      </c>
      <c r="F193" s="211"/>
      <c r="G193" s="84"/>
    </row>
    <row r="194" spans="2:7" s="19" customFormat="1" ht="55.5" customHeight="1">
      <c r="B194" s="81"/>
      <c r="C194" s="27"/>
      <c r="D194" s="27">
        <v>4440</v>
      </c>
      <c r="E194" s="29" t="s">
        <v>309</v>
      </c>
      <c r="F194" s="30">
        <v>35055</v>
      </c>
      <c r="G194" s="84" t="s">
        <v>93</v>
      </c>
    </row>
    <row r="195" spans="2:7" s="19" customFormat="1" ht="12.75">
      <c r="B195" s="90">
        <v>851</v>
      </c>
      <c r="C195" s="109"/>
      <c r="D195" s="109"/>
      <c r="E195" s="92" t="s">
        <v>359</v>
      </c>
      <c r="F195" s="88">
        <f>F196+F206</f>
        <v>80000</v>
      </c>
      <c r="G195" s="89"/>
    </row>
    <row r="196" spans="2:7" s="19" customFormat="1" ht="12.75">
      <c r="B196" s="81"/>
      <c r="C196" s="20">
        <v>85154</v>
      </c>
      <c r="D196" s="20"/>
      <c r="E196" s="22" t="s">
        <v>360</v>
      </c>
      <c r="F196" s="23">
        <f>SUM(F197:F204)</f>
        <v>80000</v>
      </c>
      <c r="G196" s="84"/>
    </row>
    <row r="197" spans="2:7" s="19" customFormat="1" ht="38.25">
      <c r="B197" s="81"/>
      <c r="C197" s="20"/>
      <c r="D197" s="27">
        <v>2820</v>
      </c>
      <c r="E197" s="29" t="s">
        <v>399</v>
      </c>
      <c r="F197" s="30">
        <v>6000</v>
      </c>
      <c r="G197" s="181"/>
    </row>
    <row r="198" spans="2:7" s="19" customFormat="1" ht="12.75" customHeight="1">
      <c r="B198" s="81"/>
      <c r="C198" s="20"/>
      <c r="D198" s="27">
        <v>4170</v>
      </c>
      <c r="E198" s="29" t="s">
        <v>372</v>
      </c>
      <c r="F198" s="30">
        <v>14000</v>
      </c>
      <c r="G198" s="361" t="s">
        <v>361</v>
      </c>
    </row>
    <row r="199" spans="2:7" s="19" customFormat="1" ht="12.75" customHeight="1">
      <c r="B199" s="81"/>
      <c r="C199" s="27"/>
      <c r="D199" s="27">
        <v>4210</v>
      </c>
      <c r="E199" s="29" t="s">
        <v>264</v>
      </c>
      <c r="F199" s="30">
        <v>25000</v>
      </c>
      <c r="G199" s="362"/>
    </row>
    <row r="200" spans="2:7" s="19" customFormat="1" ht="12.75">
      <c r="B200" s="81"/>
      <c r="C200" s="27"/>
      <c r="D200" s="27">
        <v>4260</v>
      </c>
      <c r="E200" s="29" t="s">
        <v>305</v>
      </c>
      <c r="F200" s="30">
        <v>6000</v>
      </c>
      <c r="G200" s="362"/>
    </row>
    <row r="201" spans="2:7" s="19" customFormat="1" ht="12.75">
      <c r="B201" s="81"/>
      <c r="C201" s="27"/>
      <c r="D201" s="27">
        <v>4270</v>
      </c>
      <c r="E201" s="29" t="s">
        <v>266</v>
      </c>
      <c r="F201" s="30">
        <v>2000</v>
      </c>
      <c r="G201" s="362"/>
    </row>
    <row r="202" spans="2:7" s="19" customFormat="1" ht="12.75">
      <c r="B202" s="81"/>
      <c r="C202" s="27"/>
      <c r="D202" s="27">
        <v>4300</v>
      </c>
      <c r="E202" s="29" t="s">
        <v>268</v>
      </c>
      <c r="F202" s="30">
        <v>25000</v>
      </c>
      <c r="G202" s="362"/>
    </row>
    <row r="203" spans="2:7" s="19" customFormat="1" ht="12.75">
      <c r="B203" s="81"/>
      <c r="C203" s="27"/>
      <c r="D203" s="27">
        <v>4410</v>
      </c>
      <c r="E203" s="29" t="s">
        <v>296</v>
      </c>
      <c r="F203" s="30">
        <v>1500</v>
      </c>
      <c r="G203" s="362"/>
    </row>
    <row r="204" spans="2:7" s="19" customFormat="1" ht="12.75">
      <c r="B204" s="81"/>
      <c r="C204" s="27"/>
      <c r="D204" s="27">
        <v>4430</v>
      </c>
      <c r="E204" s="29" t="s">
        <v>308</v>
      </c>
      <c r="F204" s="30">
        <v>500</v>
      </c>
      <c r="G204" s="320"/>
    </row>
    <row r="205" spans="2:7" s="19" customFormat="1" ht="25.5" customHeight="1" hidden="1">
      <c r="B205" s="81"/>
      <c r="C205" s="27"/>
      <c r="D205" s="27">
        <v>6060</v>
      </c>
      <c r="E205" s="29" t="s">
        <v>343</v>
      </c>
      <c r="F205" s="30"/>
      <c r="G205" s="83"/>
    </row>
    <row r="206" spans="2:7" s="19" customFormat="1" ht="12.75" customHeight="1" hidden="1">
      <c r="B206" s="81"/>
      <c r="C206" s="20">
        <v>85195</v>
      </c>
      <c r="D206" s="20"/>
      <c r="E206" s="22" t="s">
        <v>152</v>
      </c>
      <c r="F206" s="23">
        <f>F207</f>
        <v>0</v>
      </c>
      <c r="G206" s="83"/>
    </row>
    <row r="207" spans="2:7" s="19" customFormat="1" ht="63.75" customHeight="1" hidden="1">
      <c r="B207" s="81"/>
      <c r="C207" s="20"/>
      <c r="D207" s="38">
        <v>2710</v>
      </c>
      <c r="E207" s="39" t="s">
        <v>362</v>
      </c>
      <c r="F207" s="23"/>
      <c r="G207" s="84" t="s">
        <v>363</v>
      </c>
    </row>
    <row r="208" spans="2:7" s="19" customFormat="1" ht="75.75" customHeight="1" hidden="1">
      <c r="B208" s="81"/>
      <c r="C208" s="20"/>
      <c r="D208" s="38">
        <v>6300</v>
      </c>
      <c r="E208" s="39" t="s">
        <v>94</v>
      </c>
      <c r="F208" s="23"/>
      <c r="G208" s="84"/>
    </row>
    <row r="209" spans="2:7" s="19" customFormat="1" ht="12.75">
      <c r="B209" s="90">
        <v>852</v>
      </c>
      <c r="C209" s="109"/>
      <c r="D209" s="109"/>
      <c r="E209" s="92" t="s">
        <v>244</v>
      </c>
      <c r="F209" s="88">
        <f>F217+F219+F223+F225+F240+F242+F210</f>
        <v>2138924</v>
      </c>
      <c r="G209" s="89"/>
    </row>
    <row r="210" spans="2:7" s="43" customFormat="1" ht="38.25">
      <c r="B210" s="96"/>
      <c r="C210" s="110">
        <v>85212</v>
      </c>
      <c r="D210" s="44"/>
      <c r="E210" s="22" t="s">
        <v>245</v>
      </c>
      <c r="F210" s="40">
        <f>SUM(F211:F216)</f>
        <v>1210000</v>
      </c>
      <c r="G210" s="87" t="s">
        <v>95</v>
      </c>
    </row>
    <row r="211" spans="2:7" s="43" customFormat="1" ht="26.25" customHeight="1">
      <c r="B211" s="96"/>
      <c r="C211" s="44"/>
      <c r="D211" s="27">
        <v>3110</v>
      </c>
      <c r="E211" s="29" t="s">
        <v>364</v>
      </c>
      <c r="F211" s="45">
        <v>1173700</v>
      </c>
      <c r="G211" s="87" t="s">
        <v>96</v>
      </c>
    </row>
    <row r="212" spans="2:7" s="43" customFormat="1" ht="12.75">
      <c r="B212" s="96"/>
      <c r="C212" s="44"/>
      <c r="D212" s="27">
        <v>4010</v>
      </c>
      <c r="E212" s="29" t="s">
        <v>290</v>
      </c>
      <c r="F212" s="45">
        <v>23224</v>
      </c>
      <c r="G212" s="309" t="s">
        <v>97</v>
      </c>
    </row>
    <row r="213" spans="2:7" s="43" customFormat="1" ht="12.75">
      <c r="B213" s="96"/>
      <c r="C213" s="44"/>
      <c r="D213" s="27">
        <v>4110</v>
      </c>
      <c r="E213" s="29" t="s">
        <v>292</v>
      </c>
      <c r="F213" s="45">
        <v>4001</v>
      </c>
      <c r="G213" s="310"/>
    </row>
    <row r="214" spans="2:7" s="43" customFormat="1" ht="12.75">
      <c r="B214" s="96"/>
      <c r="C214" s="44"/>
      <c r="D214" s="27">
        <v>4210</v>
      </c>
      <c r="E214" s="29" t="s">
        <v>264</v>
      </c>
      <c r="F214" s="45">
        <v>2000</v>
      </c>
      <c r="G214" s="310"/>
    </row>
    <row r="215" spans="2:7" s="43" customFormat="1" ht="12.75">
      <c r="B215" s="96"/>
      <c r="C215" s="44"/>
      <c r="D215" s="27">
        <v>4300</v>
      </c>
      <c r="E215" s="29" t="s">
        <v>268</v>
      </c>
      <c r="F215" s="45">
        <v>6000</v>
      </c>
      <c r="G215" s="310"/>
    </row>
    <row r="216" spans="2:7" s="43" customFormat="1" ht="12.75">
      <c r="B216" s="96"/>
      <c r="C216" s="44"/>
      <c r="D216" s="27">
        <v>4410</v>
      </c>
      <c r="E216" s="29" t="s">
        <v>296</v>
      </c>
      <c r="F216" s="45">
        <v>1075</v>
      </c>
      <c r="G216" s="308"/>
    </row>
    <row r="217" spans="2:7" s="43" customFormat="1" ht="51">
      <c r="B217" s="96"/>
      <c r="C217" s="20">
        <v>85213</v>
      </c>
      <c r="D217" s="20"/>
      <c r="E217" s="22" t="s">
        <v>246</v>
      </c>
      <c r="F217" s="23">
        <f>F218</f>
        <v>9800</v>
      </c>
      <c r="G217" s="87"/>
    </row>
    <row r="218" spans="2:7" s="43" customFormat="1" ht="21" customHeight="1">
      <c r="B218" s="96"/>
      <c r="C218" s="44"/>
      <c r="D218" s="27">
        <v>4130</v>
      </c>
      <c r="E218" s="29" t="s">
        <v>365</v>
      </c>
      <c r="F218" s="45">
        <v>9800</v>
      </c>
      <c r="G218" s="87" t="s">
        <v>366</v>
      </c>
    </row>
    <row r="219" spans="2:7" s="19" customFormat="1" ht="24" customHeight="1">
      <c r="B219" s="81"/>
      <c r="C219" s="20">
        <v>85214</v>
      </c>
      <c r="D219" s="20"/>
      <c r="E219" s="22" t="s">
        <v>247</v>
      </c>
      <c r="F219" s="23">
        <f>F220+F221+F222</f>
        <v>256500</v>
      </c>
      <c r="G219" s="84"/>
    </row>
    <row r="220" spans="2:7" s="19" customFormat="1" ht="32.25" customHeight="1">
      <c r="B220" s="81"/>
      <c r="C220" s="27"/>
      <c r="D220" s="27">
        <v>3110</v>
      </c>
      <c r="E220" s="29" t="s">
        <v>364</v>
      </c>
      <c r="F220" s="30">
        <f>63800+130000</f>
        <v>193800</v>
      </c>
      <c r="G220" s="84" t="s">
        <v>98</v>
      </c>
    </row>
    <row r="221" spans="2:7" s="19" customFormat="1" ht="15.75" customHeight="1">
      <c r="B221" s="81"/>
      <c r="C221" s="27"/>
      <c r="D221" s="27">
        <v>4110</v>
      </c>
      <c r="E221" s="29" t="s">
        <v>367</v>
      </c>
      <c r="F221" s="30">
        <v>3300</v>
      </c>
      <c r="G221" s="84" t="s">
        <v>99</v>
      </c>
    </row>
    <row r="222" spans="2:7" s="19" customFormat="1" ht="45.75" customHeight="1">
      <c r="B222" s="81"/>
      <c r="C222" s="27"/>
      <c r="D222" s="27">
        <v>4330</v>
      </c>
      <c r="E222" s="29" t="s">
        <v>100</v>
      </c>
      <c r="F222" s="30">
        <v>59400</v>
      </c>
      <c r="G222" s="84"/>
    </row>
    <row r="223" spans="2:7" s="19" customFormat="1" ht="12.75">
      <c r="B223" s="81"/>
      <c r="C223" s="20">
        <v>85215</v>
      </c>
      <c r="D223" s="20"/>
      <c r="E223" s="22" t="s">
        <v>368</v>
      </c>
      <c r="F223" s="23">
        <f>SUM(F224)</f>
        <v>210000</v>
      </c>
      <c r="G223" s="84"/>
    </row>
    <row r="224" spans="2:7" s="19" customFormat="1" ht="57" customHeight="1">
      <c r="B224" s="81"/>
      <c r="C224" s="27"/>
      <c r="D224" s="27">
        <v>3110</v>
      </c>
      <c r="E224" s="29" t="s">
        <v>364</v>
      </c>
      <c r="F224" s="30">
        <v>210000</v>
      </c>
      <c r="G224" s="84" t="s">
        <v>369</v>
      </c>
    </row>
    <row r="225" spans="2:7" s="19" customFormat="1" ht="18.75" customHeight="1">
      <c r="B225" s="81"/>
      <c r="C225" s="20">
        <v>85219</v>
      </c>
      <c r="D225" s="20"/>
      <c r="E225" s="22" t="s">
        <v>250</v>
      </c>
      <c r="F225" s="23">
        <f>SUM(F226:F238)</f>
        <v>387600</v>
      </c>
      <c r="G225" s="84" t="s">
        <v>569</v>
      </c>
    </row>
    <row r="226" spans="2:7" s="19" customFormat="1" ht="29.25" customHeight="1">
      <c r="B226" s="81"/>
      <c r="C226" s="27"/>
      <c r="D226" s="27">
        <v>3020</v>
      </c>
      <c r="E226" s="29" t="s">
        <v>300</v>
      </c>
      <c r="F226" s="30">
        <v>5500</v>
      </c>
      <c r="G226" s="84" t="s">
        <v>370</v>
      </c>
    </row>
    <row r="227" spans="2:7" s="19" customFormat="1" ht="12.75">
      <c r="B227" s="81"/>
      <c r="C227" s="27"/>
      <c r="D227" s="27">
        <v>4010</v>
      </c>
      <c r="E227" s="29" t="s">
        <v>290</v>
      </c>
      <c r="F227" s="30">
        <v>236600</v>
      </c>
      <c r="G227" s="84"/>
    </row>
    <row r="228" spans="2:7" s="19" customFormat="1" ht="12.75">
      <c r="B228" s="81"/>
      <c r="C228" s="27"/>
      <c r="D228" s="27">
        <v>4040</v>
      </c>
      <c r="E228" s="29" t="s">
        <v>302</v>
      </c>
      <c r="F228" s="30">
        <v>17500</v>
      </c>
      <c r="G228" s="84"/>
    </row>
    <row r="229" spans="2:7" s="19" customFormat="1" ht="12.75">
      <c r="B229" s="81"/>
      <c r="C229" s="27"/>
      <c r="D229" s="27">
        <v>4110</v>
      </c>
      <c r="E229" s="29" t="s">
        <v>292</v>
      </c>
      <c r="F229" s="30">
        <v>45500</v>
      </c>
      <c r="G229" s="84"/>
    </row>
    <row r="230" spans="2:7" s="19" customFormat="1" ht="12.75">
      <c r="B230" s="81"/>
      <c r="C230" s="27"/>
      <c r="D230" s="27">
        <v>4120</v>
      </c>
      <c r="E230" s="29" t="s">
        <v>371</v>
      </c>
      <c r="F230" s="30">
        <v>6300</v>
      </c>
      <c r="G230" s="84"/>
    </row>
    <row r="231" spans="2:7" s="19" customFormat="1" ht="12.75">
      <c r="B231" s="81"/>
      <c r="C231" s="27"/>
      <c r="D231" s="27">
        <v>4170</v>
      </c>
      <c r="E231" s="29" t="s">
        <v>372</v>
      </c>
      <c r="F231" s="30">
        <v>8000</v>
      </c>
      <c r="G231" s="84" t="s">
        <v>373</v>
      </c>
    </row>
    <row r="232" spans="2:7" s="19" customFormat="1" ht="33" customHeight="1">
      <c r="B232" s="81"/>
      <c r="C232" s="27"/>
      <c r="D232" s="27">
        <v>4210</v>
      </c>
      <c r="E232" s="29" t="s">
        <v>264</v>
      </c>
      <c r="F232" s="30">
        <v>15000</v>
      </c>
      <c r="G232" s="84" t="s">
        <v>374</v>
      </c>
    </row>
    <row r="233" spans="2:7" s="19" customFormat="1" ht="12.75">
      <c r="B233" s="81"/>
      <c r="C233" s="27"/>
      <c r="D233" s="27">
        <v>4260</v>
      </c>
      <c r="E233" s="29" t="s">
        <v>305</v>
      </c>
      <c r="F233" s="30">
        <v>8000</v>
      </c>
      <c r="G233" s="84" t="s">
        <v>375</v>
      </c>
    </row>
    <row r="234" spans="2:7" s="19" customFormat="1" ht="16.5" customHeight="1">
      <c r="B234" s="81"/>
      <c r="C234" s="27"/>
      <c r="D234" s="27">
        <v>4270</v>
      </c>
      <c r="E234" s="29" t="s">
        <v>310</v>
      </c>
      <c r="F234" s="30">
        <v>2000</v>
      </c>
      <c r="G234" s="84" t="s">
        <v>376</v>
      </c>
    </row>
    <row r="235" spans="2:7" s="19" customFormat="1" ht="51" customHeight="1">
      <c r="B235" s="81"/>
      <c r="C235" s="27"/>
      <c r="D235" s="27">
        <v>4300</v>
      </c>
      <c r="E235" s="29" t="s">
        <v>268</v>
      </c>
      <c r="F235" s="30">
        <f>30000-3000</f>
        <v>27000</v>
      </c>
      <c r="G235" s="84" t="s">
        <v>377</v>
      </c>
    </row>
    <row r="236" spans="2:7" s="19" customFormat="1" ht="30.75" customHeight="1">
      <c r="B236" s="81"/>
      <c r="C236" s="27"/>
      <c r="D236" s="27">
        <v>4410</v>
      </c>
      <c r="E236" s="29" t="s">
        <v>296</v>
      </c>
      <c r="F236" s="30">
        <v>8000</v>
      </c>
      <c r="G236" s="84" t="s">
        <v>378</v>
      </c>
    </row>
    <row r="237" spans="2:7" s="19" customFormat="1" ht="24.75" customHeight="1">
      <c r="B237" s="81"/>
      <c r="C237" s="27"/>
      <c r="D237" s="27">
        <v>4430</v>
      </c>
      <c r="E237" s="29" t="s">
        <v>308</v>
      </c>
      <c r="F237" s="30">
        <v>800</v>
      </c>
      <c r="G237" s="84" t="s">
        <v>379</v>
      </c>
    </row>
    <row r="238" spans="2:7" s="19" customFormat="1" ht="25.5">
      <c r="B238" s="81"/>
      <c r="C238" s="27"/>
      <c r="D238" s="27">
        <v>4440</v>
      </c>
      <c r="E238" s="29" t="s">
        <v>309</v>
      </c>
      <c r="F238" s="30">
        <v>7400</v>
      </c>
      <c r="G238" s="84"/>
    </row>
    <row r="239" spans="2:7" s="19" customFormat="1" ht="25.5" customHeight="1" hidden="1">
      <c r="B239" s="81"/>
      <c r="C239" s="27"/>
      <c r="D239" s="27">
        <v>6060</v>
      </c>
      <c r="E239" s="29" t="s">
        <v>343</v>
      </c>
      <c r="F239" s="30"/>
      <c r="G239" s="84"/>
    </row>
    <row r="240" spans="2:7" s="19" customFormat="1" ht="29.25" customHeight="1">
      <c r="B240" s="81"/>
      <c r="C240" s="20">
        <v>85228</v>
      </c>
      <c r="D240" s="20"/>
      <c r="E240" s="22" t="s">
        <v>380</v>
      </c>
      <c r="F240" s="23">
        <f>F241</f>
        <v>15000</v>
      </c>
      <c r="G240" s="84" t="s">
        <v>381</v>
      </c>
    </row>
    <row r="241" spans="2:7" s="19" customFormat="1" ht="20.25" customHeight="1">
      <c r="B241" s="81"/>
      <c r="C241" s="27"/>
      <c r="D241" s="27">
        <v>4170</v>
      </c>
      <c r="E241" s="29" t="s">
        <v>372</v>
      </c>
      <c r="F241" s="30">
        <v>15000</v>
      </c>
      <c r="G241" s="84"/>
    </row>
    <row r="242" spans="2:7" s="19" customFormat="1" ht="17.25" customHeight="1">
      <c r="B242" s="81"/>
      <c r="C242" s="20">
        <v>85295</v>
      </c>
      <c r="D242" s="20"/>
      <c r="E242" s="22" t="s">
        <v>152</v>
      </c>
      <c r="F242" s="23">
        <f>SUM(F243:F243)</f>
        <v>50024</v>
      </c>
      <c r="G242" s="84"/>
    </row>
    <row r="243" spans="2:7" s="19" customFormat="1" ht="19.5" customHeight="1">
      <c r="B243" s="81"/>
      <c r="C243" s="20"/>
      <c r="D243" s="27">
        <v>3110</v>
      </c>
      <c r="E243" s="29" t="s">
        <v>364</v>
      </c>
      <c r="F243" s="31">
        <f>36000+14024</f>
        <v>50024</v>
      </c>
      <c r="G243" s="84" t="s">
        <v>382</v>
      </c>
    </row>
    <row r="244" spans="2:7" s="19" customFormat="1" ht="12.75" customHeight="1">
      <c r="B244" s="91">
        <v>854</v>
      </c>
      <c r="C244" s="91"/>
      <c r="D244" s="91"/>
      <c r="E244" s="92" t="s">
        <v>532</v>
      </c>
      <c r="F244" s="88">
        <f>F245</f>
        <v>2000</v>
      </c>
      <c r="G244" s="89"/>
    </row>
    <row r="245" spans="2:7" s="19" customFormat="1" ht="12.75" customHeight="1">
      <c r="B245" s="20"/>
      <c r="C245" s="20">
        <v>85415</v>
      </c>
      <c r="D245" s="52"/>
      <c r="E245" s="207" t="s">
        <v>533</v>
      </c>
      <c r="F245" s="23">
        <f>F246</f>
        <v>2000</v>
      </c>
      <c r="G245" s="84"/>
    </row>
    <row r="246" spans="2:7" s="19" customFormat="1" ht="38.25" customHeight="1">
      <c r="B246" s="20"/>
      <c r="C246" s="20"/>
      <c r="D246" s="27">
        <v>3110</v>
      </c>
      <c r="E246" s="29" t="s">
        <v>364</v>
      </c>
      <c r="F246" s="31">
        <v>2000</v>
      </c>
      <c r="G246" s="84" t="s">
        <v>570</v>
      </c>
    </row>
    <row r="247" spans="2:7" s="19" customFormat="1" ht="25.5">
      <c r="B247" s="90">
        <v>900</v>
      </c>
      <c r="C247" s="91"/>
      <c r="D247" s="91"/>
      <c r="E247" s="92" t="s">
        <v>253</v>
      </c>
      <c r="F247" s="88">
        <f>F250+F256+F248</f>
        <v>367296</v>
      </c>
      <c r="G247" s="89"/>
    </row>
    <row r="248" spans="2:7" s="43" customFormat="1" ht="12.75">
      <c r="B248" s="96"/>
      <c r="C248" s="36">
        <v>90001</v>
      </c>
      <c r="D248" s="36"/>
      <c r="E248" s="37" t="s">
        <v>254</v>
      </c>
      <c r="F248" s="40">
        <f>F249</f>
        <v>20000</v>
      </c>
      <c r="G248" s="87"/>
    </row>
    <row r="249" spans="2:7" s="43" customFormat="1" ht="24.75" customHeight="1">
      <c r="B249" s="96"/>
      <c r="C249" s="41"/>
      <c r="D249" s="27">
        <v>6050</v>
      </c>
      <c r="E249" s="29" t="s">
        <v>271</v>
      </c>
      <c r="F249" s="45">
        <v>20000</v>
      </c>
      <c r="G249" s="87" t="s">
        <v>101</v>
      </c>
    </row>
    <row r="250" spans="2:7" s="19" customFormat="1" ht="12.75">
      <c r="B250" s="81"/>
      <c r="C250" s="20">
        <v>90015</v>
      </c>
      <c r="D250" s="20"/>
      <c r="E250" s="22" t="s">
        <v>383</v>
      </c>
      <c r="F250" s="23">
        <f>SUM(F251:F255)</f>
        <v>263296</v>
      </c>
      <c r="G250" s="84"/>
    </row>
    <row r="251" spans="2:7" s="19" customFormat="1" ht="32.25" customHeight="1">
      <c r="B251" s="81"/>
      <c r="C251" s="27"/>
      <c r="D251" s="27">
        <v>4210</v>
      </c>
      <c r="E251" s="29" t="s">
        <v>264</v>
      </c>
      <c r="F251" s="30">
        <v>1000</v>
      </c>
      <c r="G251" s="84" t="s">
        <v>384</v>
      </c>
    </row>
    <row r="252" spans="2:7" s="19" customFormat="1" ht="21" customHeight="1">
      <c r="B252" s="81"/>
      <c r="C252" s="27"/>
      <c r="D252" s="27">
        <v>4260</v>
      </c>
      <c r="E252" s="29" t="s">
        <v>305</v>
      </c>
      <c r="F252" s="30">
        <v>197308</v>
      </c>
      <c r="G252" s="84" t="s">
        <v>385</v>
      </c>
    </row>
    <row r="253" spans="2:7" s="19" customFormat="1" ht="24" customHeight="1">
      <c r="B253" s="81"/>
      <c r="C253" s="27"/>
      <c r="D253" s="27">
        <v>4270</v>
      </c>
      <c r="E253" s="29" t="s">
        <v>310</v>
      </c>
      <c r="F253" s="30">
        <v>40350</v>
      </c>
      <c r="G253" s="84" t="s">
        <v>386</v>
      </c>
    </row>
    <row r="254" spans="2:7" s="19" customFormat="1" ht="51" customHeight="1" hidden="1">
      <c r="B254" s="81"/>
      <c r="C254" s="27"/>
      <c r="D254" s="27">
        <v>4300</v>
      </c>
      <c r="E254" s="29" t="s">
        <v>268</v>
      </c>
      <c r="F254" s="30"/>
      <c r="G254" s="84" t="s">
        <v>387</v>
      </c>
    </row>
    <row r="255" spans="2:7" s="19" customFormat="1" ht="42" customHeight="1">
      <c r="B255" s="81"/>
      <c r="C255" s="27"/>
      <c r="D255" s="27">
        <v>6050</v>
      </c>
      <c r="E255" s="29" t="s">
        <v>271</v>
      </c>
      <c r="F255" s="30">
        <f>9638+15000</f>
        <v>24638</v>
      </c>
      <c r="G255" s="84" t="s">
        <v>102</v>
      </c>
    </row>
    <row r="256" spans="2:7" s="19" customFormat="1" ht="12.75">
      <c r="B256" s="81"/>
      <c r="C256" s="20">
        <v>90095</v>
      </c>
      <c r="D256" s="20"/>
      <c r="E256" s="22" t="s">
        <v>152</v>
      </c>
      <c r="F256" s="23">
        <f>SUM(F257:F261)</f>
        <v>84000</v>
      </c>
      <c r="G256" s="84"/>
    </row>
    <row r="257" spans="2:7" s="19" customFormat="1" ht="41.25" customHeight="1">
      <c r="B257" s="81"/>
      <c r="C257" s="20"/>
      <c r="D257" s="105">
        <v>4170</v>
      </c>
      <c r="E257" s="106" t="s">
        <v>388</v>
      </c>
      <c r="F257" s="30">
        <v>20000</v>
      </c>
      <c r="G257" s="84" t="s">
        <v>389</v>
      </c>
    </row>
    <row r="258" spans="2:7" s="19" customFormat="1" ht="48" customHeight="1">
      <c r="B258" s="81"/>
      <c r="C258" s="20"/>
      <c r="D258" s="27">
        <v>4210</v>
      </c>
      <c r="E258" s="29" t="s">
        <v>264</v>
      </c>
      <c r="F258" s="30">
        <v>12000</v>
      </c>
      <c r="G258" s="84" t="s">
        <v>103</v>
      </c>
    </row>
    <row r="259" spans="2:7" s="19" customFormat="1" ht="24.75" customHeight="1">
      <c r="B259" s="81"/>
      <c r="C259" s="27"/>
      <c r="D259" s="27">
        <v>4260</v>
      </c>
      <c r="E259" s="29" t="s">
        <v>305</v>
      </c>
      <c r="F259" s="30">
        <v>5000</v>
      </c>
      <c r="G259" s="84" t="s">
        <v>390</v>
      </c>
    </row>
    <row r="260" spans="2:7" s="19" customFormat="1" ht="43.5" customHeight="1">
      <c r="B260" s="81"/>
      <c r="C260" s="27"/>
      <c r="D260" s="27">
        <v>4300</v>
      </c>
      <c r="E260" s="29" t="s">
        <v>268</v>
      </c>
      <c r="F260" s="30">
        <v>12000</v>
      </c>
      <c r="G260" s="84" t="s">
        <v>104</v>
      </c>
    </row>
    <row r="261" spans="2:7" s="19" customFormat="1" ht="25.5">
      <c r="B261" s="81"/>
      <c r="C261" s="27"/>
      <c r="D261" s="27">
        <v>6050</v>
      </c>
      <c r="E261" s="29" t="s">
        <v>271</v>
      </c>
      <c r="F261" s="30">
        <v>35000</v>
      </c>
      <c r="G261" s="84" t="s">
        <v>105</v>
      </c>
    </row>
    <row r="262" spans="2:7" s="19" customFormat="1" ht="25.5">
      <c r="B262" s="90">
        <v>921</v>
      </c>
      <c r="C262" s="91"/>
      <c r="D262" s="91"/>
      <c r="E262" s="92" t="s">
        <v>391</v>
      </c>
      <c r="F262" s="88">
        <f>F263+F265</f>
        <v>443500</v>
      </c>
      <c r="G262" s="89"/>
    </row>
    <row r="263" spans="2:7" s="19" customFormat="1" ht="25.5">
      <c r="B263" s="81"/>
      <c r="C263" s="20">
        <v>92109</v>
      </c>
      <c r="D263" s="20"/>
      <c r="E263" s="22" t="s">
        <v>392</v>
      </c>
      <c r="F263" s="23">
        <f>SUM(F264:F264)</f>
        <v>174500</v>
      </c>
      <c r="G263" s="84"/>
    </row>
    <row r="264" spans="2:7" s="19" customFormat="1" ht="25.5">
      <c r="B264" s="81"/>
      <c r="C264" s="27"/>
      <c r="D264" s="27">
        <v>2480</v>
      </c>
      <c r="E264" s="29" t="s">
        <v>393</v>
      </c>
      <c r="F264" s="30">
        <f>199500-25000</f>
        <v>174500</v>
      </c>
      <c r="G264" s="84" t="s">
        <v>394</v>
      </c>
    </row>
    <row r="265" spans="2:7" s="19" customFormat="1" ht="12.75">
      <c r="B265" s="81"/>
      <c r="C265" s="20">
        <v>92116</v>
      </c>
      <c r="D265" s="20"/>
      <c r="E265" s="22" t="s">
        <v>395</v>
      </c>
      <c r="F265" s="23">
        <f>SUM(F266:F266)</f>
        <v>269000</v>
      </c>
      <c r="G265" s="84"/>
    </row>
    <row r="266" spans="2:7" s="19" customFormat="1" ht="29.25" customHeight="1">
      <c r="B266" s="81"/>
      <c r="C266" s="27"/>
      <c r="D266" s="27">
        <v>2480</v>
      </c>
      <c r="E266" s="29" t="s">
        <v>393</v>
      </c>
      <c r="F266" s="30">
        <f>294000-25000</f>
        <v>269000</v>
      </c>
      <c r="G266" s="84" t="s">
        <v>396</v>
      </c>
    </row>
    <row r="267" spans="2:7" s="19" customFormat="1" ht="12.75">
      <c r="B267" s="90">
        <v>926</v>
      </c>
      <c r="C267" s="91"/>
      <c r="D267" s="91"/>
      <c r="E267" s="92" t="s">
        <v>397</v>
      </c>
      <c r="F267" s="88">
        <f>F268+F270</f>
        <v>95228</v>
      </c>
      <c r="G267" s="89"/>
    </row>
    <row r="268" spans="2:7" s="19" customFormat="1" ht="25.5">
      <c r="B268" s="81"/>
      <c r="C268" s="20">
        <v>92605</v>
      </c>
      <c r="D268" s="20"/>
      <c r="E268" s="22" t="s">
        <v>398</v>
      </c>
      <c r="F268" s="23">
        <f>SUM(F269:F269)</f>
        <v>30700</v>
      </c>
      <c r="G268" s="108"/>
    </row>
    <row r="269" spans="2:7" s="19" customFormat="1" ht="57.75" customHeight="1">
      <c r="B269" s="81"/>
      <c r="C269" s="20"/>
      <c r="D269" s="27">
        <v>2820</v>
      </c>
      <c r="E269" s="29" t="s">
        <v>399</v>
      </c>
      <c r="F269" s="31">
        <v>30700</v>
      </c>
      <c r="G269" s="84" t="s">
        <v>400</v>
      </c>
    </row>
    <row r="270" spans="2:7" s="19" customFormat="1" ht="29.25" customHeight="1">
      <c r="B270" s="81"/>
      <c r="C270" s="20">
        <v>92695</v>
      </c>
      <c r="D270" s="20"/>
      <c r="E270" s="22" t="s">
        <v>152</v>
      </c>
      <c r="F270" s="23">
        <f>SUM(F271:F276)</f>
        <v>64528</v>
      </c>
      <c r="G270" s="108" t="s">
        <v>401</v>
      </c>
    </row>
    <row r="271" spans="2:7" s="19" customFormat="1" ht="51" customHeight="1">
      <c r="B271" s="81"/>
      <c r="C271" s="27"/>
      <c r="D271" s="27">
        <v>4170</v>
      </c>
      <c r="E271" s="29" t="s">
        <v>372</v>
      </c>
      <c r="F271" s="30">
        <v>8716</v>
      </c>
      <c r="G271" s="84" t="s">
        <v>106</v>
      </c>
    </row>
    <row r="272" spans="2:7" s="19" customFormat="1" ht="75.75" customHeight="1">
      <c r="B272" s="81"/>
      <c r="C272" s="27"/>
      <c r="D272" s="27">
        <v>4210</v>
      </c>
      <c r="E272" s="29" t="s">
        <v>264</v>
      </c>
      <c r="F272" s="30">
        <v>13900</v>
      </c>
      <c r="G272" s="84" t="s">
        <v>0</v>
      </c>
    </row>
    <row r="273" spans="2:7" s="19" customFormat="1" ht="30.75" customHeight="1">
      <c r="B273" s="81"/>
      <c r="C273" s="27"/>
      <c r="D273" s="27">
        <v>4260</v>
      </c>
      <c r="E273" s="29" t="s">
        <v>305</v>
      </c>
      <c r="F273" s="30">
        <v>7000</v>
      </c>
      <c r="G273" s="84" t="s">
        <v>402</v>
      </c>
    </row>
    <row r="274" spans="2:7" s="19" customFormat="1" ht="42" customHeight="1">
      <c r="B274" s="81"/>
      <c r="C274" s="27"/>
      <c r="D274" s="27">
        <v>4300</v>
      </c>
      <c r="E274" s="29" t="s">
        <v>268</v>
      </c>
      <c r="F274" s="30">
        <v>33412</v>
      </c>
      <c r="G274" s="84" t="s">
        <v>403</v>
      </c>
    </row>
    <row r="275" spans="2:7" s="19" customFormat="1" ht="12.75">
      <c r="B275" s="81"/>
      <c r="C275" s="27"/>
      <c r="D275" s="27">
        <v>4410</v>
      </c>
      <c r="E275" s="29" t="s">
        <v>296</v>
      </c>
      <c r="F275" s="30">
        <v>500</v>
      </c>
      <c r="G275" s="84"/>
    </row>
    <row r="276" spans="2:7" s="19" customFormat="1" ht="32.25" customHeight="1">
      <c r="B276" s="81"/>
      <c r="C276" s="27"/>
      <c r="D276" s="27">
        <v>4430</v>
      </c>
      <c r="E276" s="29" t="s">
        <v>308</v>
      </c>
      <c r="F276" s="30">
        <v>1000</v>
      </c>
      <c r="G276" s="84" t="s">
        <v>404</v>
      </c>
    </row>
    <row r="277" spans="2:7" s="19" customFormat="1" ht="13.5" thickBot="1">
      <c r="B277" s="113"/>
      <c r="C277" s="114"/>
      <c r="D277" s="114"/>
      <c r="E277" s="115" t="s">
        <v>258</v>
      </c>
      <c r="F277" s="116">
        <f>F7+F25+F30+F44+F76+F79+F107+F110+F195+F209+F247+F262+F267+F39+F103+F98+F21+F244</f>
        <v>18700565</v>
      </c>
      <c r="G277" s="212"/>
    </row>
    <row r="278" spans="6:7" s="19" customFormat="1" ht="12.75">
      <c r="F278" s="47"/>
      <c r="G278" s="117"/>
    </row>
    <row r="279" spans="5:7" s="19" customFormat="1" ht="15.75">
      <c r="E279" s="10"/>
      <c r="F279" s="118"/>
      <c r="G279" s="117"/>
    </row>
    <row r="280" spans="4:7" s="19" customFormat="1" ht="12.75">
      <c r="D280" s="67"/>
      <c r="E280" s="47"/>
      <c r="G280" s="4"/>
    </row>
    <row r="281" s="19" customFormat="1" ht="12.75">
      <c r="G281" s="4"/>
    </row>
    <row r="282" spans="5:7" s="19" customFormat="1" ht="12.75">
      <c r="E282" s="47"/>
      <c r="F282" s="47"/>
      <c r="G282" s="4"/>
    </row>
    <row r="283" spans="6:7" s="19" customFormat="1" ht="12.75">
      <c r="F283" s="47"/>
      <c r="G283" s="4"/>
    </row>
    <row r="284" spans="6:7" s="19" customFormat="1" ht="12.75">
      <c r="F284" s="47"/>
      <c r="G284" s="4"/>
    </row>
    <row r="285" spans="6:7" s="19" customFormat="1" ht="12.75">
      <c r="F285" s="47"/>
      <c r="G285" s="4"/>
    </row>
    <row r="286" spans="6:7" s="19" customFormat="1" ht="12.75">
      <c r="F286" s="47"/>
      <c r="G286" s="4"/>
    </row>
    <row r="287" spans="6:7" s="19" customFormat="1" ht="12.75">
      <c r="F287" s="47"/>
      <c r="G287" s="4"/>
    </row>
    <row r="288" spans="6:7" s="19" customFormat="1" ht="12.75">
      <c r="F288" s="47"/>
      <c r="G288" s="4"/>
    </row>
    <row r="289" spans="6:7" s="19" customFormat="1" ht="12.75">
      <c r="F289" s="47"/>
      <c r="G289" s="4"/>
    </row>
    <row r="290" s="19" customFormat="1" ht="12.75">
      <c r="G290" s="4"/>
    </row>
    <row r="291" s="19" customFormat="1" ht="12.75">
      <c r="G291" s="4"/>
    </row>
  </sheetData>
  <mergeCells count="19">
    <mergeCell ref="B3:B4"/>
    <mergeCell ref="C3:C4"/>
    <mergeCell ref="D3:D4"/>
    <mergeCell ref="G10:G11"/>
    <mergeCell ref="F3:F4"/>
    <mergeCell ref="G3:G4"/>
    <mergeCell ref="E3:E4"/>
    <mergeCell ref="G14:G15"/>
    <mergeCell ref="G19:G20"/>
    <mergeCell ref="G28:G29"/>
    <mergeCell ref="G46:G47"/>
    <mergeCell ref="G56:G59"/>
    <mergeCell ref="G73:G75"/>
    <mergeCell ref="G94:G97"/>
    <mergeCell ref="G108:G109"/>
    <mergeCell ref="G173:G176"/>
    <mergeCell ref="G190:G191"/>
    <mergeCell ref="G198:G204"/>
    <mergeCell ref="G212:G21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1"/>
  <sheetViews>
    <sheetView zoomScale="150" zoomScaleNormal="150" workbookViewId="0" topLeftCell="A4">
      <selection activeCell="A1" sqref="A1:IV16384"/>
    </sheetView>
  </sheetViews>
  <sheetFormatPr defaultColWidth="9.140625" defaultRowHeight="12.75"/>
  <cols>
    <col min="1" max="1" width="4.7109375" style="3" customWidth="1"/>
    <col min="2" max="2" width="6.8515625" style="3" customWidth="1"/>
    <col min="3" max="3" width="5.7109375" style="3" customWidth="1"/>
    <col min="4" max="4" width="25.8515625" style="3" customWidth="1"/>
    <col min="5" max="5" width="15.57421875" style="8" customWidth="1"/>
    <col min="6" max="9" width="10.8515625" style="124" hidden="1" customWidth="1"/>
    <col min="10" max="21" width="15.57421875" style="3" hidden="1" customWidth="1"/>
    <col min="22" max="22" width="7.8515625" style="3" customWidth="1"/>
    <col min="23" max="23" width="4.421875" style="3" customWidth="1"/>
    <col min="24" max="24" width="24.421875" style="3" customWidth="1"/>
    <col min="25" max="25" width="19.421875" style="3" customWidth="1"/>
    <col min="26" max="16384" width="9.140625" style="3" customWidth="1"/>
  </cols>
  <sheetData>
    <row r="1" spans="5:25" ht="12.75" customHeight="1">
      <c r="E1" s="5"/>
      <c r="F1" s="121"/>
      <c r="G1" s="121"/>
      <c r="H1" s="121"/>
      <c r="I1" s="121"/>
      <c r="J1" s="19"/>
      <c r="X1" s="288" t="s">
        <v>2</v>
      </c>
      <c r="Y1" s="288"/>
    </row>
    <row r="2" spans="6:25" ht="12.75">
      <c r="F2" s="122"/>
      <c r="G2" s="122"/>
      <c r="H2" s="122"/>
      <c r="I2" s="122"/>
      <c r="J2" s="123"/>
      <c r="X2" s="288"/>
      <c r="Y2" s="288"/>
    </row>
    <row r="3" spans="1:25" ht="15.75">
      <c r="A3" s="363" t="s">
        <v>405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</row>
    <row r="4" spans="1:25" ht="15.75">
      <c r="A4" s="363" t="s">
        <v>107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</row>
    <row r="5" spans="1:22" ht="13.5" thickBot="1">
      <c r="A5" s="1"/>
      <c r="B5" s="2"/>
      <c r="C5" s="2"/>
      <c r="V5" s="70"/>
    </row>
    <row r="6" spans="1:25" s="10" customFormat="1" ht="16.5" thickBot="1">
      <c r="A6" s="9" t="s">
        <v>132</v>
      </c>
      <c r="B6" s="9" t="s">
        <v>133</v>
      </c>
      <c r="C6" s="9" t="s">
        <v>134</v>
      </c>
      <c r="D6" s="9" t="s">
        <v>135</v>
      </c>
      <c r="E6" s="9" t="s">
        <v>406</v>
      </c>
      <c r="F6" s="125" t="s">
        <v>136</v>
      </c>
      <c r="G6" s="126"/>
      <c r="H6" s="127"/>
      <c r="I6" s="127"/>
      <c r="J6" s="9" t="s">
        <v>137</v>
      </c>
      <c r="K6" s="71" t="s">
        <v>138</v>
      </c>
      <c r="L6" s="71" t="s">
        <v>139</v>
      </c>
      <c r="M6" s="71" t="s">
        <v>140</v>
      </c>
      <c r="N6" s="71" t="s">
        <v>141</v>
      </c>
      <c r="O6" s="71" t="s">
        <v>142</v>
      </c>
      <c r="P6" s="71" t="s">
        <v>143</v>
      </c>
      <c r="Q6" s="71" t="s">
        <v>144</v>
      </c>
      <c r="R6" s="71" t="s">
        <v>145</v>
      </c>
      <c r="S6" s="71" t="s">
        <v>146</v>
      </c>
      <c r="T6" s="71" t="s">
        <v>147</v>
      </c>
      <c r="U6" s="71" t="s">
        <v>148</v>
      </c>
      <c r="V6" s="9" t="s">
        <v>133</v>
      </c>
      <c r="W6" s="9" t="s">
        <v>134</v>
      </c>
      <c r="X6" s="9" t="s">
        <v>135</v>
      </c>
      <c r="Y6" s="128" t="s">
        <v>407</v>
      </c>
    </row>
    <row r="7" spans="1:25" s="6" customFormat="1" ht="12.75">
      <c r="A7" s="12"/>
      <c r="B7" s="12"/>
      <c r="C7" s="12"/>
      <c r="D7" s="12"/>
      <c r="E7" s="13"/>
      <c r="F7" s="129"/>
      <c r="G7" s="129"/>
      <c r="H7" s="129"/>
      <c r="I7" s="129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13"/>
      <c r="Y7" s="13"/>
    </row>
    <row r="8" spans="1:25" s="19" customFormat="1" ht="12.75">
      <c r="A8" s="33">
        <v>750</v>
      </c>
      <c r="B8" s="33"/>
      <c r="C8" s="33"/>
      <c r="D8" s="16" t="s">
        <v>174</v>
      </c>
      <c r="E8" s="17">
        <f>E9</f>
        <v>53800</v>
      </c>
      <c r="F8" s="17">
        <f>F9</f>
        <v>0</v>
      </c>
      <c r="G8" s="17">
        <f>G9</f>
        <v>0</v>
      </c>
      <c r="H8" s="17">
        <f>H9</f>
        <v>0</v>
      </c>
      <c r="I8" s="130" t="e">
        <f>I9+#REF!+#REF!</f>
        <v>#REF!</v>
      </c>
      <c r="J8" s="17">
        <f aca="true" t="shared" si="0" ref="J8:U8">J9</f>
        <v>2983</v>
      </c>
      <c r="K8" s="17">
        <f t="shared" si="0"/>
        <v>3596</v>
      </c>
      <c r="L8" s="17">
        <f t="shared" si="0"/>
        <v>2893</v>
      </c>
      <c r="M8" s="17">
        <f t="shared" si="0"/>
        <v>0</v>
      </c>
      <c r="N8" s="17">
        <f t="shared" si="0"/>
        <v>3200</v>
      </c>
      <c r="O8" s="17">
        <f t="shared" si="0"/>
        <v>0</v>
      </c>
      <c r="P8" s="17">
        <f t="shared" si="0"/>
        <v>0</v>
      </c>
      <c r="Q8" s="17">
        <f t="shared" si="0"/>
        <v>0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0</v>
      </c>
      <c r="V8" s="88"/>
      <c r="W8" s="131"/>
      <c r="X8" s="131"/>
      <c r="Y8" s="88">
        <f>Y9</f>
        <v>53800</v>
      </c>
    </row>
    <row r="9" spans="1:25" s="19" customFormat="1" ht="12.75">
      <c r="A9" s="376">
        <v>75011</v>
      </c>
      <c r="B9" s="377"/>
      <c r="C9" s="20"/>
      <c r="D9" s="22" t="s">
        <v>175</v>
      </c>
      <c r="E9" s="59">
        <f>SUM(E10:E10)</f>
        <v>53800</v>
      </c>
      <c r="F9" s="25">
        <f aca="true" t="shared" si="1" ref="F9:U9">SUM(F10:F10)</f>
        <v>0</v>
      </c>
      <c r="G9" s="132">
        <f t="shared" si="1"/>
        <v>0</v>
      </c>
      <c r="H9" s="132">
        <f t="shared" si="1"/>
        <v>0</v>
      </c>
      <c r="I9" s="132">
        <f t="shared" si="1"/>
        <v>0</v>
      </c>
      <c r="J9" s="23">
        <f t="shared" si="1"/>
        <v>2983</v>
      </c>
      <c r="K9" s="23">
        <f t="shared" si="1"/>
        <v>3596</v>
      </c>
      <c r="L9" s="23">
        <f t="shared" si="1"/>
        <v>2893</v>
      </c>
      <c r="M9" s="23">
        <f t="shared" si="1"/>
        <v>0</v>
      </c>
      <c r="N9" s="23">
        <f t="shared" si="1"/>
        <v>3200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3">
        <f t="shared" si="1"/>
        <v>0</v>
      </c>
      <c r="V9" s="20">
        <v>75011</v>
      </c>
      <c r="W9" s="20"/>
      <c r="X9" s="22" t="s">
        <v>175</v>
      </c>
      <c r="Y9" s="24">
        <f>Y10+Y11</f>
        <v>53800</v>
      </c>
    </row>
    <row r="10" spans="1:25" s="19" customFormat="1" ht="39.75" customHeight="1">
      <c r="A10" s="364"/>
      <c r="B10" s="365"/>
      <c r="C10" s="368">
        <v>2010</v>
      </c>
      <c r="D10" s="370" t="s">
        <v>176</v>
      </c>
      <c r="E10" s="372">
        <v>53800</v>
      </c>
      <c r="F10" s="112"/>
      <c r="G10" s="133"/>
      <c r="H10" s="133"/>
      <c r="I10" s="133"/>
      <c r="J10" s="31">
        <v>2983</v>
      </c>
      <c r="K10" s="31">
        <v>3596</v>
      </c>
      <c r="L10" s="31">
        <v>2893</v>
      </c>
      <c r="M10" s="31"/>
      <c r="N10" s="31">
        <v>3200</v>
      </c>
      <c r="O10" s="31"/>
      <c r="P10" s="31"/>
      <c r="Q10" s="31"/>
      <c r="R10" s="31"/>
      <c r="S10" s="31"/>
      <c r="T10" s="31"/>
      <c r="U10" s="31"/>
      <c r="V10" s="374"/>
      <c r="W10" s="38">
        <v>4010</v>
      </c>
      <c r="X10" s="39" t="s">
        <v>290</v>
      </c>
      <c r="Y10" s="30">
        <v>45893</v>
      </c>
    </row>
    <row r="11" spans="1:25" s="19" customFormat="1" ht="44.25" customHeight="1">
      <c r="A11" s="366"/>
      <c r="B11" s="367"/>
      <c r="C11" s="369"/>
      <c r="D11" s="371"/>
      <c r="E11" s="373"/>
      <c r="F11" s="112"/>
      <c r="G11" s="133"/>
      <c r="H11" s="133"/>
      <c r="I11" s="133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75"/>
      <c r="W11" s="38">
        <v>4110</v>
      </c>
      <c r="X11" s="39" t="s">
        <v>292</v>
      </c>
      <c r="Y11" s="30">
        <v>7907</v>
      </c>
    </row>
    <row r="12" spans="1:25" s="19" customFormat="1" ht="45" customHeight="1">
      <c r="A12" s="33">
        <v>751</v>
      </c>
      <c r="B12" s="15"/>
      <c r="C12" s="15"/>
      <c r="D12" s="16" t="s">
        <v>181</v>
      </c>
      <c r="E12" s="135">
        <f>E13</f>
        <v>1090</v>
      </c>
      <c r="F12" s="112"/>
      <c r="G12" s="133"/>
      <c r="H12" s="133"/>
      <c r="I12" s="133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136"/>
      <c r="W12" s="137"/>
      <c r="X12" s="138"/>
      <c r="Y12" s="139">
        <f>Y13</f>
        <v>1090</v>
      </c>
    </row>
    <row r="13" spans="1:25" s="19" customFormat="1" ht="42.75" customHeight="1">
      <c r="A13" s="392">
        <v>75101</v>
      </c>
      <c r="B13" s="393"/>
      <c r="C13" s="41"/>
      <c r="D13" s="42" t="s">
        <v>182</v>
      </c>
      <c r="E13" s="140">
        <f>E14</f>
        <v>1090</v>
      </c>
      <c r="F13" s="112"/>
      <c r="G13" s="133"/>
      <c r="H13" s="133"/>
      <c r="I13" s="133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41">
        <v>75101</v>
      </c>
      <c r="W13" s="38"/>
      <c r="X13" s="42" t="s">
        <v>182</v>
      </c>
      <c r="Y13" s="141">
        <f>Y14</f>
        <v>1090</v>
      </c>
    </row>
    <row r="14" spans="1:25" s="19" customFormat="1" ht="76.5">
      <c r="A14" s="382"/>
      <c r="B14" s="383"/>
      <c r="C14" s="27">
        <v>2010</v>
      </c>
      <c r="D14" s="29" t="s">
        <v>176</v>
      </c>
      <c r="E14" s="134">
        <v>1090</v>
      </c>
      <c r="F14" s="112"/>
      <c r="G14" s="133"/>
      <c r="H14" s="133"/>
      <c r="I14" s="133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8">
        <v>4300</v>
      </c>
      <c r="X14" s="39" t="s">
        <v>268</v>
      </c>
      <c r="Y14" s="134">
        <v>1090</v>
      </c>
    </row>
    <row r="15" spans="1:25" s="19" customFormat="1" ht="39.75" customHeight="1">
      <c r="A15" s="33">
        <v>754</v>
      </c>
      <c r="B15" s="33"/>
      <c r="C15" s="33"/>
      <c r="D15" s="16" t="s">
        <v>183</v>
      </c>
      <c r="E15" s="17">
        <f aca="true" t="shared" si="2" ref="E15:U15">E16</f>
        <v>400</v>
      </c>
      <c r="F15" s="130">
        <f t="shared" si="2"/>
        <v>0</v>
      </c>
      <c r="G15" s="130">
        <f t="shared" si="2"/>
        <v>0</v>
      </c>
      <c r="H15" s="130">
        <f t="shared" si="2"/>
        <v>0</v>
      </c>
      <c r="I15" s="130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  <c r="M15" s="17">
        <f t="shared" si="2"/>
        <v>200</v>
      </c>
      <c r="N15" s="17">
        <f t="shared" si="2"/>
        <v>0</v>
      </c>
      <c r="O15" s="17">
        <f t="shared" si="2"/>
        <v>0</v>
      </c>
      <c r="P15" s="17">
        <f t="shared" si="2"/>
        <v>0</v>
      </c>
      <c r="Q15" s="17">
        <f t="shared" si="2"/>
        <v>0</v>
      </c>
      <c r="R15" s="17">
        <f t="shared" si="2"/>
        <v>0</v>
      </c>
      <c r="S15" s="17">
        <f t="shared" si="2"/>
        <v>0</v>
      </c>
      <c r="T15" s="17">
        <f t="shared" si="2"/>
        <v>0</v>
      </c>
      <c r="U15" s="17">
        <f t="shared" si="2"/>
        <v>0</v>
      </c>
      <c r="V15" s="88"/>
      <c r="W15" s="131"/>
      <c r="X15" s="131"/>
      <c r="Y15" s="88">
        <f>Y16</f>
        <v>400</v>
      </c>
    </row>
    <row r="16" spans="1:25" s="19" customFormat="1" ht="12.75">
      <c r="A16" s="376">
        <v>75414</v>
      </c>
      <c r="B16" s="377"/>
      <c r="C16" s="20"/>
      <c r="D16" s="22" t="s">
        <v>184</v>
      </c>
      <c r="E16" s="59">
        <f aca="true" t="shared" si="3" ref="E16:U16">SUM(E17)</f>
        <v>400</v>
      </c>
      <c r="F16" s="132">
        <f t="shared" si="3"/>
        <v>0</v>
      </c>
      <c r="G16" s="132">
        <f t="shared" si="3"/>
        <v>0</v>
      </c>
      <c r="H16" s="132">
        <f t="shared" si="3"/>
        <v>0</v>
      </c>
      <c r="I16" s="132">
        <f t="shared" si="3"/>
        <v>0</v>
      </c>
      <c r="J16" s="23">
        <f t="shared" si="3"/>
        <v>0</v>
      </c>
      <c r="K16" s="23">
        <f t="shared" si="3"/>
        <v>0</v>
      </c>
      <c r="L16" s="23">
        <f t="shared" si="3"/>
        <v>0</v>
      </c>
      <c r="M16" s="23">
        <f t="shared" si="3"/>
        <v>200</v>
      </c>
      <c r="N16" s="23">
        <f t="shared" si="3"/>
        <v>0</v>
      </c>
      <c r="O16" s="23">
        <f t="shared" si="3"/>
        <v>0</v>
      </c>
      <c r="P16" s="23">
        <f t="shared" si="3"/>
        <v>0</v>
      </c>
      <c r="Q16" s="23">
        <f t="shared" si="3"/>
        <v>0</v>
      </c>
      <c r="R16" s="23">
        <f t="shared" si="3"/>
        <v>0</v>
      </c>
      <c r="S16" s="23">
        <f t="shared" si="3"/>
        <v>0</v>
      </c>
      <c r="T16" s="23">
        <f t="shared" si="3"/>
        <v>0</v>
      </c>
      <c r="U16" s="23">
        <f t="shared" si="3"/>
        <v>0</v>
      </c>
      <c r="V16" s="20">
        <v>75414</v>
      </c>
      <c r="W16" s="20"/>
      <c r="X16" s="22" t="s">
        <v>184</v>
      </c>
      <c r="Y16" s="24">
        <f>Y17</f>
        <v>400</v>
      </c>
    </row>
    <row r="17" spans="1:25" s="19" customFormat="1" ht="84.75" customHeight="1">
      <c r="A17" s="394"/>
      <c r="B17" s="395"/>
      <c r="C17" s="27">
        <v>2010</v>
      </c>
      <c r="D17" s="29" t="s">
        <v>176</v>
      </c>
      <c r="E17" s="30">
        <v>400</v>
      </c>
      <c r="F17" s="133"/>
      <c r="G17" s="133"/>
      <c r="H17" s="133"/>
      <c r="I17" s="133"/>
      <c r="J17" s="31"/>
      <c r="K17" s="31"/>
      <c r="L17" s="31"/>
      <c r="M17" s="31">
        <v>200</v>
      </c>
      <c r="N17" s="31"/>
      <c r="O17" s="31"/>
      <c r="P17" s="31"/>
      <c r="Q17" s="31"/>
      <c r="R17" s="31"/>
      <c r="S17" s="31"/>
      <c r="T17" s="31"/>
      <c r="U17" s="31"/>
      <c r="V17" s="31"/>
      <c r="W17" s="27">
        <v>4210</v>
      </c>
      <c r="X17" s="29" t="s">
        <v>264</v>
      </c>
      <c r="Y17" s="31">
        <v>400</v>
      </c>
    </row>
    <row r="18" spans="1:25" s="19" customFormat="1" ht="12.75">
      <c r="A18" s="33">
        <v>852</v>
      </c>
      <c r="B18" s="33"/>
      <c r="C18" s="33"/>
      <c r="D18" s="16" t="s">
        <v>244</v>
      </c>
      <c r="E18" s="17">
        <f>E28+E26+E19</f>
        <v>1253100</v>
      </c>
      <c r="F18" s="130" t="e">
        <f>F28+#REF!+#REF!+#REF!+F26+#REF!+#REF!</f>
        <v>#REF!</v>
      </c>
      <c r="G18" s="130" t="e">
        <f>G28+#REF!+#REF!+#REF!+G26+#REF!+#REF!</f>
        <v>#REF!</v>
      </c>
      <c r="H18" s="130" t="e">
        <f>H28+#REF!+#REF!+#REF!+H26+#REF!+#REF!</f>
        <v>#REF!</v>
      </c>
      <c r="I18" s="130" t="e">
        <f>I28+#REF!+#REF!+#REF!+I26+#REF!+#REF!</f>
        <v>#REF!</v>
      </c>
      <c r="J18" s="17" t="e">
        <f>J28+#REF!+#REF!+#REF!+J26+#REF!+#REF!</f>
        <v>#REF!</v>
      </c>
      <c r="K18" s="17" t="e">
        <f>K28+#REF!+#REF!+#REF!+K26+#REF!+#REF!</f>
        <v>#REF!</v>
      </c>
      <c r="L18" s="17" t="e">
        <f>L28+#REF!+#REF!+#REF!+L26+#REF!+#REF!</f>
        <v>#REF!</v>
      </c>
      <c r="M18" s="17" t="e">
        <f>M28+#REF!+#REF!+#REF!+M26+#REF!+#REF!</f>
        <v>#REF!</v>
      </c>
      <c r="N18" s="17" t="e">
        <f>N28+#REF!+#REF!+#REF!+N26+#REF!+#REF!</f>
        <v>#REF!</v>
      </c>
      <c r="O18" s="17" t="e">
        <f>O28+#REF!+#REF!+#REF!+O26+#REF!+#REF!</f>
        <v>#REF!</v>
      </c>
      <c r="P18" s="17" t="e">
        <f>P28+#REF!+#REF!+#REF!+P26+#REF!+#REF!</f>
        <v>#REF!</v>
      </c>
      <c r="Q18" s="17" t="e">
        <f>Q28+#REF!+#REF!+#REF!+Q26+#REF!+#REF!</f>
        <v>#REF!</v>
      </c>
      <c r="R18" s="17" t="e">
        <f>R28+#REF!+#REF!+#REF!+R26+#REF!+#REF!</f>
        <v>#REF!</v>
      </c>
      <c r="S18" s="17" t="e">
        <f>S28+#REF!+#REF!+#REF!+S26+#REF!+#REF!</f>
        <v>#REF!</v>
      </c>
      <c r="T18" s="17" t="e">
        <f>T28+#REF!+#REF!+#REF!+T26+#REF!+#REF!</f>
        <v>#REF!</v>
      </c>
      <c r="U18" s="17" t="e">
        <f>U28+#REF!+#REF!+#REF!+U26+#REF!+#REF!</f>
        <v>#REF!</v>
      </c>
      <c r="V18" s="88"/>
      <c r="W18" s="131"/>
      <c r="X18" s="131"/>
      <c r="Y18" s="88">
        <f>Y28+Y26+Y19</f>
        <v>1253100</v>
      </c>
    </row>
    <row r="19" spans="1:25" s="145" customFormat="1" ht="55.5" customHeight="1">
      <c r="A19" s="396">
        <v>85212</v>
      </c>
      <c r="B19" s="397"/>
      <c r="C19" s="44"/>
      <c r="D19" s="22" t="s">
        <v>245</v>
      </c>
      <c r="E19" s="142">
        <f>SUM(E20:E24)</f>
        <v>1210000</v>
      </c>
      <c r="F19" s="143"/>
      <c r="G19" s="143"/>
      <c r="H19" s="143"/>
      <c r="I19" s="143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10">
        <v>85212</v>
      </c>
      <c r="W19" s="44"/>
      <c r="X19" s="22" t="s">
        <v>245</v>
      </c>
      <c r="Y19" s="142">
        <f>SUM(Y20:Y25)</f>
        <v>1210000</v>
      </c>
    </row>
    <row r="20" spans="1:25" s="145" customFormat="1" ht="18" customHeight="1">
      <c r="A20" s="384"/>
      <c r="B20" s="385"/>
      <c r="C20" s="368">
        <v>2010</v>
      </c>
      <c r="D20" s="370" t="s">
        <v>176</v>
      </c>
      <c r="E20" s="398">
        <v>1210000</v>
      </c>
      <c r="F20" s="143"/>
      <c r="G20" s="143"/>
      <c r="H20" s="143"/>
      <c r="I20" s="143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401"/>
      <c r="W20" s="27">
        <v>3110</v>
      </c>
      <c r="X20" s="29" t="s">
        <v>364</v>
      </c>
      <c r="Y20" s="51">
        <v>1173700</v>
      </c>
    </row>
    <row r="21" spans="1:25" s="145" customFormat="1" ht="29.25" customHeight="1">
      <c r="A21" s="386"/>
      <c r="B21" s="387"/>
      <c r="C21" s="390"/>
      <c r="D21" s="391"/>
      <c r="E21" s="399"/>
      <c r="F21" s="143"/>
      <c r="G21" s="143"/>
      <c r="H21" s="143"/>
      <c r="I21" s="143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402"/>
      <c r="W21" s="27">
        <v>4010</v>
      </c>
      <c r="X21" s="29" t="s">
        <v>290</v>
      </c>
      <c r="Y21" s="51">
        <v>23224</v>
      </c>
    </row>
    <row r="22" spans="1:25" s="145" customFormat="1" ht="28.5" customHeight="1">
      <c r="A22" s="386"/>
      <c r="B22" s="387"/>
      <c r="C22" s="390"/>
      <c r="D22" s="391"/>
      <c r="E22" s="399"/>
      <c r="F22" s="143"/>
      <c r="G22" s="143"/>
      <c r="H22" s="143"/>
      <c r="I22" s="143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402"/>
      <c r="W22" s="27">
        <v>4110</v>
      </c>
      <c r="X22" s="29" t="s">
        <v>292</v>
      </c>
      <c r="Y22" s="51">
        <v>4001</v>
      </c>
    </row>
    <row r="23" spans="1:25" s="145" customFormat="1" ht="27.75" customHeight="1">
      <c r="A23" s="386"/>
      <c r="B23" s="387"/>
      <c r="C23" s="390"/>
      <c r="D23" s="391"/>
      <c r="E23" s="399"/>
      <c r="F23" s="143"/>
      <c r="G23" s="143"/>
      <c r="H23" s="143"/>
      <c r="I23" s="143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402"/>
      <c r="W23" s="27">
        <v>4210</v>
      </c>
      <c r="X23" s="29" t="s">
        <v>264</v>
      </c>
      <c r="Y23" s="51">
        <v>2000</v>
      </c>
    </row>
    <row r="24" spans="1:25" s="145" customFormat="1" ht="13.5" customHeight="1">
      <c r="A24" s="386"/>
      <c r="B24" s="387"/>
      <c r="C24" s="390"/>
      <c r="D24" s="391"/>
      <c r="E24" s="399"/>
      <c r="F24" s="143"/>
      <c r="G24" s="143"/>
      <c r="H24" s="143"/>
      <c r="I24" s="143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402"/>
      <c r="W24" s="27">
        <v>4300</v>
      </c>
      <c r="X24" s="29" t="s">
        <v>268</v>
      </c>
      <c r="Y24" s="51">
        <v>6000</v>
      </c>
    </row>
    <row r="25" spans="1:25" s="145" customFormat="1" ht="18" customHeight="1">
      <c r="A25" s="388"/>
      <c r="B25" s="389"/>
      <c r="C25" s="369"/>
      <c r="D25" s="371"/>
      <c r="E25" s="400"/>
      <c r="F25" s="143"/>
      <c r="G25" s="143"/>
      <c r="H25" s="143"/>
      <c r="I25" s="143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403"/>
      <c r="W25" s="27">
        <v>4410</v>
      </c>
      <c r="X25" s="29" t="s">
        <v>296</v>
      </c>
      <c r="Y25" s="51">
        <v>1075</v>
      </c>
    </row>
    <row r="26" spans="1:25" s="43" customFormat="1" ht="66" customHeight="1">
      <c r="A26" s="376">
        <v>85213</v>
      </c>
      <c r="B26" s="377"/>
      <c r="C26" s="20"/>
      <c r="D26" s="22" t="s">
        <v>408</v>
      </c>
      <c r="E26" s="54">
        <f>E27</f>
        <v>9800</v>
      </c>
      <c r="F26" s="146">
        <f aca="true" t="shared" si="4" ref="F26:K26">F27</f>
        <v>0</v>
      </c>
      <c r="G26" s="146">
        <f t="shared" si="4"/>
        <v>0</v>
      </c>
      <c r="H26" s="146">
        <f t="shared" si="4"/>
        <v>2500</v>
      </c>
      <c r="I26" s="146">
        <f t="shared" si="4"/>
        <v>0</v>
      </c>
      <c r="J26" s="40">
        <f t="shared" si="4"/>
        <v>1183</v>
      </c>
      <c r="K26" s="40">
        <f t="shared" si="4"/>
        <v>805</v>
      </c>
      <c r="L26" s="40">
        <f>L27</f>
        <v>582</v>
      </c>
      <c r="M26" s="40">
        <f>M27</f>
        <v>1183</v>
      </c>
      <c r="N26" s="40">
        <f>N27</f>
        <v>2163</v>
      </c>
      <c r="O26" s="40"/>
      <c r="P26" s="40"/>
      <c r="Q26" s="40"/>
      <c r="R26" s="40"/>
      <c r="S26" s="40"/>
      <c r="T26" s="40"/>
      <c r="U26" s="40"/>
      <c r="V26" s="20">
        <v>85213</v>
      </c>
      <c r="W26" s="20"/>
      <c r="X26" s="22" t="s">
        <v>408</v>
      </c>
      <c r="Y26" s="54">
        <f>Y27</f>
        <v>9800</v>
      </c>
    </row>
    <row r="27" spans="1:25" s="43" customFormat="1" ht="81" customHeight="1">
      <c r="A27" s="382"/>
      <c r="B27" s="383"/>
      <c r="C27" s="27">
        <v>2010</v>
      </c>
      <c r="D27" s="29" t="s">
        <v>176</v>
      </c>
      <c r="E27" s="45">
        <v>9800</v>
      </c>
      <c r="F27" s="146"/>
      <c r="G27" s="146"/>
      <c r="H27" s="46">
        <v>2500</v>
      </c>
      <c r="I27" s="146"/>
      <c r="J27" s="45">
        <v>1183</v>
      </c>
      <c r="K27" s="45">
        <v>805</v>
      </c>
      <c r="L27" s="45">
        <v>582</v>
      </c>
      <c r="M27" s="45">
        <v>1183</v>
      </c>
      <c r="N27" s="45">
        <v>2163</v>
      </c>
      <c r="O27" s="40"/>
      <c r="P27" s="40"/>
      <c r="Q27" s="40"/>
      <c r="R27" s="40"/>
      <c r="S27" s="40"/>
      <c r="T27" s="40"/>
      <c r="U27" s="40"/>
      <c r="V27" s="40"/>
      <c r="W27" s="27">
        <v>4130</v>
      </c>
      <c r="X27" s="29" t="s">
        <v>365</v>
      </c>
      <c r="Y27" s="45">
        <v>9800</v>
      </c>
    </row>
    <row r="28" spans="1:25" s="19" customFormat="1" ht="50.25" customHeight="1">
      <c r="A28" s="376">
        <v>85214</v>
      </c>
      <c r="B28" s="377"/>
      <c r="C28" s="20"/>
      <c r="D28" s="22" t="s">
        <v>247</v>
      </c>
      <c r="E28" s="59">
        <f aca="true" t="shared" si="5" ref="E28:U28">E29</f>
        <v>33300</v>
      </c>
      <c r="F28" s="132">
        <f t="shared" si="5"/>
        <v>0</v>
      </c>
      <c r="G28" s="132">
        <f t="shared" si="5"/>
        <v>53000</v>
      </c>
      <c r="H28" s="132">
        <f t="shared" si="5"/>
        <v>14800</v>
      </c>
      <c r="I28" s="132">
        <f t="shared" si="5"/>
        <v>0</v>
      </c>
      <c r="J28" s="23">
        <f t="shared" si="5"/>
        <v>20100</v>
      </c>
      <c r="K28" s="23">
        <f t="shared" si="5"/>
        <v>32427</v>
      </c>
      <c r="L28" s="23">
        <f t="shared" si="5"/>
        <v>22000</v>
      </c>
      <c r="M28" s="23">
        <f t="shared" si="5"/>
        <v>20100</v>
      </c>
      <c r="N28" s="23">
        <f t="shared" si="5"/>
        <v>29168</v>
      </c>
      <c r="O28" s="23">
        <f t="shared" si="5"/>
        <v>0</v>
      </c>
      <c r="P28" s="23">
        <f t="shared" si="5"/>
        <v>0</v>
      </c>
      <c r="Q28" s="23">
        <f t="shared" si="5"/>
        <v>0</v>
      </c>
      <c r="R28" s="23">
        <f t="shared" si="5"/>
        <v>0</v>
      </c>
      <c r="S28" s="23">
        <f t="shared" si="5"/>
        <v>0</v>
      </c>
      <c r="T28" s="23">
        <f t="shared" si="5"/>
        <v>0</v>
      </c>
      <c r="U28" s="23">
        <f t="shared" si="5"/>
        <v>0</v>
      </c>
      <c r="V28" s="20">
        <v>85214</v>
      </c>
      <c r="W28" s="20"/>
      <c r="X28" s="22" t="s">
        <v>247</v>
      </c>
      <c r="Y28" s="59">
        <f>Y29</f>
        <v>33300</v>
      </c>
    </row>
    <row r="29" spans="1:25" s="19" customFormat="1" ht="86.25" customHeight="1">
      <c r="A29" s="394"/>
      <c r="B29" s="395"/>
      <c r="C29" s="213">
        <v>2010</v>
      </c>
      <c r="D29" s="213" t="s">
        <v>176</v>
      </c>
      <c r="E29" s="214">
        <v>33300</v>
      </c>
      <c r="F29" s="147"/>
      <c r="G29" s="147">
        <v>53000</v>
      </c>
      <c r="H29" s="147">
        <v>14800</v>
      </c>
      <c r="I29" s="147"/>
      <c r="J29" s="30">
        <v>20100</v>
      </c>
      <c r="K29" s="30">
        <v>32427</v>
      </c>
      <c r="L29" s="30">
        <v>22000</v>
      </c>
      <c r="M29" s="30">
        <v>20100</v>
      </c>
      <c r="N29" s="30">
        <v>29168</v>
      </c>
      <c r="O29" s="30"/>
      <c r="P29" s="30"/>
      <c r="Q29" s="30"/>
      <c r="R29" s="30"/>
      <c r="S29" s="30"/>
      <c r="T29" s="30"/>
      <c r="U29" s="30"/>
      <c r="V29" s="183"/>
      <c r="W29" s="27">
        <v>3110</v>
      </c>
      <c r="X29" s="29" t="s">
        <v>364</v>
      </c>
      <c r="Y29" s="148">
        <v>33300</v>
      </c>
    </row>
    <row r="30" spans="1:25" s="19" customFormat="1" ht="12.75">
      <c r="A30" s="378"/>
      <c r="B30" s="379"/>
      <c r="C30" s="15"/>
      <c r="D30" s="33" t="s">
        <v>258</v>
      </c>
      <c r="E30" s="17">
        <f>E8+E15+E18+E12</f>
        <v>1308390</v>
      </c>
      <c r="F30" s="17" t="e">
        <f>F8+F15+#REF!+F18+#REF!</f>
        <v>#REF!</v>
      </c>
      <c r="G30" s="17" t="e">
        <f>G8+G15+#REF!+G18+#REF!</f>
        <v>#REF!</v>
      </c>
      <c r="H30" s="17" t="e">
        <f>H8+H15+#REF!+H18+#REF!</f>
        <v>#REF!</v>
      </c>
      <c r="I30" s="17" t="e">
        <f>I8+I15+#REF!+I18+#REF!</f>
        <v>#REF!</v>
      </c>
      <c r="J30" s="17" t="e">
        <f>J8+J15+#REF!+J18+#REF!</f>
        <v>#REF!</v>
      </c>
      <c r="K30" s="17" t="e">
        <f>K8+K15+#REF!+K18+#REF!</f>
        <v>#REF!</v>
      </c>
      <c r="L30" s="17" t="e">
        <f>L8+L15+#REF!+L18+#REF!</f>
        <v>#REF!</v>
      </c>
      <c r="M30" s="17" t="e">
        <f>M8+M15+#REF!+M18+#REF!</f>
        <v>#REF!</v>
      </c>
      <c r="N30" s="17" t="e">
        <f>N8+N15+#REF!+N18+#REF!</f>
        <v>#REF!</v>
      </c>
      <c r="O30" s="17" t="e">
        <f>O8+O15+#REF!+O18+#REF!</f>
        <v>#REF!</v>
      </c>
      <c r="P30" s="17" t="e">
        <f>P8+P15+#REF!+P18+#REF!</f>
        <v>#REF!</v>
      </c>
      <c r="Q30" s="17" t="e">
        <f>Q8+Q15+#REF!+Q18+#REF!</f>
        <v>#REF!</v>
      </c>
      <c r="R30" s="17" t="e">
        <f>R8+R15+#REF!+R18+#REF!</f>
        <v>#REF!</v>
      </c>
      <c r="S30" s="17" t="e">
        <f>S8+S15+#REF!+S18+#REF!</f>
        <v>#REF!</v>
      </c>
      <c r="T30" s="17" t="e">
        <f>T8+T15+#REF!+T18+#REF!</f>
        <v>#REF!</v>
      </c>
      <c r="U30" s="17" t="e">
        <f>U8+U15+#REF!+U18+#REF!</f>
        <v>#REF!</v>
      </c>
      <c r="V30" s="380"/>
      <c r="W30" s="381"/>
      <c r="X30" s="131"/>
      <c r="Y30" s="88">
        <f>Y8+Y15+Y18+Y12</f>
        <v>1308390</v>
      </c>
    </row>
    <row r="31" spans="5:25" s="19" customFormat="1" ht="12.75">
      <c r="E31" s="65"/>
      <c r="F31" s="121"/>
      <c r="G31" s="121"/>
      <c r="H31" s="121"/>
      <c r="I31" s="121"/>
      <c r="Y31" s="47"/>
    </row>
    <row r="32" spans="5:25" s="19" customFormat="1" ht="12.75">
      <c r="E32" s="66"/>
      <c r="F32" s="149"/>
      <c r="G32" s="149"/>
      <c r="H32" s="149"/>
      <c r="I32" s="149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Y32" s="47"/>
    </row>
    <row r="33" spans="5:25" s="19" customFormat="1" ht="12.75">
      <c r="E33" s="66"/>
      <c r="F33" s="149"/>
      <c r="G33" s="149"/>
      <c r="H33" s="149"/>
      <c r="I33" s="149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Y33" s="47"/>
    </row>
    <row r="34" spans="5:25" s="19" customFormat="1" ht="12.75">
      <c r="E34" s="65"/>
      <c r="F34" s="121"/>
      <c r="G34" s="121"/>
      <c r="H34" s="121"/>
      <c r="I34" s="121"/>
      <c r="Y34" s="47"/>
    </row>
    <row r="35" spans="5:25" s="19" customFormat="1" ht="12.75">
      <c r="E35" s="65"/>
      <c r="F35" s="121"/>
      <c r="G35" s="121"/>
      <c r="H35" s="121"/>
      <c r="I35" s="121"/>
      <c r="Y35" s="47"/>
    </row>
    <row r="36" spans="5:25" s="19" customFormat="1" ht="12.75">
      <c r="E36" s="65"/>
      <c r="F36" s="121"/>
      <c r="G36" s="121"/>
      <c r="H36" s="121"/>
      <c r="I36" s="121"/>
      <c r="Y36" s="47"/>
    </row>
    <row r="37" spans="5:25" s="19" customFormat="1" ht="12.75">
      <c r="E37" s="65"/>
      <c r="F37" s="121"/>
      <c r="G37" s="121"/>
      <c r="H37" s="121"/>
      <c r="I37" s="121"/>
      <c r="Y37" s="47"/>
    </row>
    <row r="38" spans="5:25" s="19" customFormat="1" ht="12.75">
      <c r="E38" s="65"/>
      <c r="F38" s="121"/>
      <c r="G38" s="121"/>
      <c r="H38" s="121"/>
      <c r="I38" s="121"/>
      <c r="Y38" s="47"/>
    </row>
    <row r="39" ht="12.75">
      <c r="Y39" s="119"/>
    </row>
    <row r="40" ht="12.75">
      <c r="Y40" s="119"/>
    </row>
    <row r="41" ht="12.75">
      <c r="Y41" s="119"/>
    </row>
    <row r="42" ht="12.75">
      <c r="Y42" s="119"/>
    </row>
    <row r="43" ht="12.75">
      <c r="Y43" s="119"/>
    </row>
    <row r="44" ht="12.75">
      <c r="Y44" s="119"/>
    </row>
    <row r="45" ht="12.75">
      <c r="Y45" s="119"/>
    </row>
    <row r="46" ht="12.75">
      <c r="Y46" s="119"/>
    </row>
    <row r="47" ht="12.75">
      <c r="Y47" s="119"/>
    </row>
    <row r="48" ht="12.75">
      <c r="Y48" s="119"/>
    </row>
    <row r="49" ht="12.75">
      <c r="Y49" s="119"/>
    </row>
    <row r="50" ht="12.75">
      <c r="Y50" s="119"/>
    </row>
    <row r="51" ht="12.75">
      <c r="Y51" s="119"/>
    </row>
    <row r="52" ht="12.75">
      <c r="Y52" s="119"/>
    </row>
    <row r="53" ht="12.75">
      <c r="Y53" s="119"/>
    </row>
    <row r="54" ht="12.75">
      <c r="Y54" s="119"/>
    </row>
    <row r="55" ht="12.75">
      <c r="Y55" s="119"/>
    </row>
    <row r="56" ht="12.75">
      <c r="Y56" s="119"/>
    </row>
    <row r="57" ht="12.75">
      <c r="Y57" s="119"/>
    </row>
    <row r="58" ht="12.75">
      <c r="Y58" s="119"/>
    </row>
    <row r="59" ht="12.75">
      <c r="Y59" s="119"/>
    </row>
    <row r="60" ht="12.75">
      <c r="Y60" s="119"/>
    </row>
    <row r="61" ht="12.75">
      <c r="Y61" s="119"/>
    </row>
  </sheetData>
  <mergeCells count="25">
    <mergeCell ref="A27:B27"/>
    <mergeCell ref="A28:B28"/>
    <mergeCell ref="A13:B13"/>
    <mergeCell ref="A16:B16"/>
    <mergeCell ref="A17:B17"/>
    <mergeCell ref="A19:B19"/>
    <mergeCell ref="A30:B30"/>
    <mergeCell ref="V30:W30"/>
    <mergeCell ref="A26:B26"/>
    <mergeCell ref="A14:B14"/>
    <mergeCell ref="A20:B25"/>
    <mergeCell ref="C20:C25"/>
    <mergeCell ref="D20:D25"/>
    <mergeCell ref="A29:B29"/>
    <mergeCell ref="E20:E25"/>
    <mergeCell ref="V20:V25"/>
    <mergeCell ref="X1:Y2"/>
    <mergeCell ref="A3:Y3"/>
    <mergeCell ref="A4:Y4"/>
    <mergeCell ref="A10:B11"/>
    <mergeCell ref="C10:C11"/>
    <mergeCell ref="D10:D11"/>
    <mergeCell ref="E10:E11"/>
    <mergeCell ref="V10:V11"/>
    <mergeCell ref="A9:B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="150" zoomScaleNormal="150" workbookViewId="0" topLeftCell="A1">
      <selection activeCell="C7" sqref="C7"/>
    </sheetView>
  </sheetViews>
  <sheetFormatPr defaultColWidth="9.140625" defaultRowHeight="12.75"/>
  <cols>
    <col min="1" max="1" width="5.28125" style="0" customWidth="1"/>
    <col min="2" max="2" width="36.7109375" style="0" customWidth="1"/>
    <col min="3" max="3" width="28.140625" style="0" customWidth="1"/>
    <col min="4" max="4" width="29.00390625" style="0" customWidth="1"/>
    <col min="5" max="5" width="10.7109375" style="0" hidden="1" customWidth="1"/>
    <col min="6" max="6" width="11.421875" style="0" hidden="1" customWidth="1"/>
    <col min="7" max="7" width="11.7109375" style="0" hidden="1" customWidth="1"/>
    <col min="8" max="8" width="6.421875" style="0" hidden="1" customWidth="1"/>
    <col min="9" max="9" width="22.421875" style="0" hidden="1" customWidth="1"/>
    <col min="10" max="10" width="14.8515625" style="0" customWidth="1"/>
    <col min="12" max="12" width="19.28125" style="0" customWidth="1"/>
    <col min="14" max="14" width="12.7109375" style="0" bestFit="1" customWidth="1"/>
    <col min="16" max="16" width="12.00390625" style="0" customWidth="1"/>
  </cols>
  <sheetData>
    <row r="1" spans="3:12" ht="12.75">
      <c r="C1" s="49"/>
      <c r="D1" s="49"/>
      <c r="G1" s="49"/>
      <c r="H1" s="49"/>
      <c r="I1" s="319" t="s">
        <v>3</v>
      </c>
      <c r="J1" s="5"/>
      <c r="K1" s="5"/>
      <c r="L1" s="5"/>
    </row>
    <row r="2" spans="3:12" ht="12.75" customHeight="1">
      <c r="C2" s="49"/>
      <c r="D2" s="426" t="s">
        <v>4</v>
      </c>
      <c r="E2" s="426"/>
      <c r="G2" s="49"/>
      <c r="H2" s="49"/>
      <c r="I2" s="319"/>
      <c r="J2" s="5"/>
      <c r="K2" s="5"/>
      <c r="L2" s="5"/>
    </row>
    <row r="3" spans="3:12" ht="12.75" customHeight="1">
      <c r="C3" s="49"/>
      <c r="D3" s="426"/>
      <c r="E3" s="426"/>
      <c r="G3" s="49"/>
      <c r="H3" s="49"/>
      <c r="I3" s="5"/>
      <c r="J3" s="5"/>
      <c r="K3" s="5"/>
      <c r="L3" s="5"/>
    </row>
    <row r="4" spans="1:9" ht="20.25">
      <c r="A4" s="427" t="s">
        <v>108</v>
      </c>
      <c r="B4" s="427"/>
      <c r="C4" s="427"/>
      <c r="D4" s="427"/>
      <c r="E4" s="19"/>
      <c r="F4" s="5"/>
      <c r="G4" s="215"/>
      <c r="H4" s="215"/>
      <c r="I4" s="5"/>
    </row>
    <row r="5" spans="1:9" ht="12.75">
      <c r="A5" s="150"/>
      <c r="B5" s="151"/>
      <c r="C5" s="151"/>
      <c r="D5" s="5"/>
      <c r="E5" s="151"/>
      <c r="F5" s="151"/>
      <c r="G5" s="151"/>
      <c r="H5" s="151"/>
      <c r="I5" s="151"/>
    </row>
    <row r="6" spans="1:9" ht="12.75">
      <c r="A6" s="150"/>
      <c r="B6" s="151"/>
      <c r="C6" s="151"/>
      <c r="D6" s="151"/>
      <c r="E6" s="151"/>
      <c r="F6" s="151"/>
      <c r="G6" s="151"/>
      <c r="H6" s="151"/>
      <c r="I6" s="151"/>
    </row>
    <row r="7" spans="1:9" ht="82.5" customHeight="1">
      <c r="A7" s="152" t="s">
        <v>134</v>
      </c>
      <c r="B7" s="152" t="s">
        <v>409</v>
      </c>
      <c r="C7" s="153" t="s">
        <v>410</v>
      </c>
      <c r="D7" s="153" t="s">
        <v>411</v>
      </c>
      <c r="E7" s="153" t="s">
        <v>5</v>
      </c>
      <c r="F7" s="153" t="s">
        <v>7</v>
      </c>
      <c r="G7" s="153" t="s">
        <v>6</v>
      </c>
      <c r="H7" s="153" t="s">
        <v>554</v>
      </c>
      <c r="I7" s="153"/>
    </row>
    <row r="8" spans="1:9" ht="12.75">
      <c r="A8" s="154"/>
      <c r="B8" s="154"/>
      <c r="C8" s="154"/>
      <c r="D8" s="155"/>
      <c r="E8" s="155"/>
      <c r="F8" s="155"/>
      <c r="G8" s="155"/>
      <c r="H8" s="155"/>
      <c r="I8" s="155"/>
    </row>
    <row r="9" spans="1:9" ht="12.75" customHeight="1">
      <c r="A9" s="440">
        <v>952</v>
      </c>
      <c r="B9" s="370" t="s">
        <v>412</v>
      </c>
      <c r="C9" s="372">
        <v>1000000</v>
      </c>
      <c r="D9" s="428"/>
      <c r="E9" s="156"/>
      <c r="F9" s="420"/>
      <c r="G9" s="423"/>
      <c r="H9" s="423"/>
      <c r="I9" s="416" t="s">
        <v>8</v>
      </c>
    </row>
    <row r="10" spans="1:9" ht="18" customHeight="1">
      <c r="A10" s="441"/>
      <c r="B10" s="391"/>
      <c r="C10" s="419"/>
      <c r="D10" s="429"/>
      <c r="E10" s="321"/>
      <c r="F10" s="421"/>
      <c r="G10" s="424"/>
      <c r="H10" s="424"/>
      <c r="I10" s="417"/>
    </row>
    <row r="11" spans="1:9" s="157" customFormat="1" ht="22.5" customHeight="1">
      <c r="A11" s="441"/>
      <c r="B11" s="391"/>
      <c r="C11" s="373"/>
      <c r="D11" s="430"/>
      <c r="E11" s="31"/>
      <c r="F11" s="421"/>
      <c r="G11" s="424"/>
      <c r="H11" s="424"/>
      <c r="I11" s="417"/>
    </row>
    <row r="12" spans="1:9" s="157" customFormat="1" ht="87" customHeight="1" hidden="1">
      <c r="A12" s="442"/>
      <c r="B12" s="371"/>
      <c r="C12" s="31"/>
      <c r="D12" s="31"/>
      <c r="E12" s="31"/>
      <c r="F12" s="422"/>
      <c r="G12" s="425"/>
      <c r="H12" s="425"/>
      <c r="I12" s="418"/>
    </row>
    <row r="13" spans="1:9" s="157" customFormat="1" ht="12.75">
      <c r="A13" s="216"/>
      <c r="B13" s="217"/>
      <c r="C13" s="218"/>
      <c r="D13" s="218"/>
      <c r="E13" s="218"/>
      <c r="F13" s="218"/>
      <c r="G13" s="218"/>
      <c r="H13" s="218"/>
      <c r="I13" s="322"/>
    </row>
    <row r="14" spans="1:9" s="219" customFormat="1" ht="25.5" customHeight="1">
      <c r="A14" s="437">
        <v>992</v>
      </c>
      <c r="B14" s="370" t="s">
        <v>413</v>
      </c>
      <c r="C14" s="413"/>
      <c r="D14" s="372">
        <v>124565</v>
      </c>
      <c r="E14" s="32"/>
      <c r="F14" s="410">
        <f>D14+E15</f>
        <v>115565</v>
      </c>
      <c r="G14" s="413">
        <v>120831.03</v>
      </c>
      <c r="H14" s="413">
        <f>G14*100/F14</f>
        <v>104.55676891792498</v>
      </c>
      <c r="I14" s="416" t="s">
        <v>9</v>
      </c>
    </row>
    <row r="15" spans="1:9" s="157" customFormat="1" ht="27" customHeight="1">
      <c r="A15" s="438"/>
      <c r="B15" s="391"/>
      <c r="C15" s="414"/>
      <c r="D15" s="419"/>
      <c r="E15" s="111">
        <v>-9000</v>
      </c>
      <c r="F15" s="411"/>
      <c r="G15" s="414"/>
      <c r="H15" s="414"/>
      <c r="I15" s="417"/>
    </row>
    <row r="16" spans="1:9" s="157" customFormat="1" ht="0.75" customHeight="1">
      <c r="A16" s="439"/>
      <c r="B16" s="371"/>
      <c r="C16" s="415"/>
      <c r="D16" s="373"/>
      <c r="E16" s="31"/>
      <c r="F16" s="412"/>
      <c r="G16" s="415"/>
      <c r="H16" s="415"/>
      <c r="I16" s="418"/>
    </row>
    <row r="17" spans="1:9" s="157" customFormat="1" ht="12.75">
      <c r="A17" s="220"/>
      <c r="B17" s="221"/>
      <c r="C17" s="222"/>
      <c r="D17" s="222"/>
      <c r="E17" s="222"/>
      <c r="F17" s="323"/>
      <c r="G17" s="323"/>
      <c r="H17" s="323"/>
      <c r="I17" s="324"/>
    </row>
    <row r="18" spans="1:9" ht="12.75" customHeight="1">
      <c r="A18" s="431"/>
      <c r="B18" s="432"/>
      <c r="C18" s="404">
        <f>SUM(C9:C16)</f>
        <v>1000000</v>
      </c>
      <c r="D18" s="404">
        <f>SUM(D10:D16)</f>
        <v>124565</v>
      </c>
      <c r="E18" s="325"/>
      <c r="F18" s="404">
        <f>SUM(F10:F16)</f>
        <v>115565</v>
      </c>
      <c r="G18" s="404">
        <f>SUM(G10:G16)</f>
        <v>120831.03</v>
      </c>
      <c r="H18" s="404">
        <f>SUM(H10:H16)</f>
        <v>104.55676891792498</v>
      </c>
      <c r="I18" s="407"/>
    </row>
    <row r="19" spans="1:9" ht="15.75">
      <c r="A19" s="433"/>
      <c r="B19" s="434"/>
      <c r="C19" s="405"/>
      <c r="D19" s="405"/>
      <c r="E19" s="326">
        <f>SUM(E10:E16)</f>
        <v>-9000</v>
      </c>
      <c r="F19" s="405"/>
      <c r="G19" s="405"/>
      <c r="H19" s="405"/>
      <c r="I19" s="408"/>
    </row>
    <row r="20" spans="1:9" ht="12.75" customHeight="1">
      <c r="A20" s="435"/>
      <c r="B20" s="436"/>
      <c r="C20" s="406"/>
      <c r="D20" s="406"/>
      <c r="E20" s="327"/>
      <c r="F20" s="406"/>
      <c r="G20" s="406"/>
      <c r="H20" s="406"/>
      <c r="I20" s="409"/>
    </row>
    <row r="22" ht="12.75">
      <c r="B22" s="158"/>
    </row>
  </sheetData>
  <mergeCells count="25">
    <mergeCell ref="A18:B20"/>
    <mergeCell ref="C18:C20"/>
    <mergeCell ref="A14:A16"/>
    <mergeCell ref="B14:B16"/>
    <mergeCell ref="C14:C16"/>
    <mergeCell ref="C9:C11"/>
    <mergeCell ref="D2:E3"/>
    <mergeCell ref="A4:D4"/>
    <mergeCell ref="D9:D11"/>
    <mergeCell ref="A9:A12"/>
    <mergeCell ref="B9:B12"/>
    <mergeCell ref="I14:I16"/>
    <mergeCell ref="D14:D16"/>
    <mergeCell ref="F9:F12"/>
    <mergeCell ref="G9:G12"/>
    <mergeCell ref="H9:H12"/>
    <mergeCell ref="I9:I12"/>
    <mergeCell ref="D18:D20"/>
    <mergeCell ref="F14:F16"/>
    <mergeCell ref="G14:G16"/>
    <mergeCell ref="H14:H16"/>
    <mergeCell ref="F18:F20"/>
    <mergeCell ref="G18:G20"/>
    <mergeCell ref="H18:H20"/>
    <mergeCell ref="I18:I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162"/>
  <sheetViews>
    <sheetView zoomScale="150" zoomScaleNormal="150" workbookViewId="0" topLeftCell="A1">
      <selection activeCell="H21" sqref="H21"/>
    </sheetView>
  </sheetViews>
  <sheetFormatPr defaultColWidth="9.140625" defaultRowHeight="12.75"/>
  <cols>
    <col min="1" max="1" width="1.421875" style="0" customWidth="1"/>
    <col min="7" max="7" width="8.140625" style="0" customWidth="1"/>
    <col min="8" max="8" width="12.140625" style="0" customWidth="1"/>
    <col min="9" max="9" width="23.140625" style="0" customWidth="1"/>
  </cols>
  <sheetData>
    <row r="2" ht="18">
      <c r="I2" s="184"/>
    </row>
    <row r="4" spans="2:9" ht="15">
      <c r="B4" s="185" t="s">
        <v>109</v>
      </c>
      <c r="C4" s="186"/>
      <c r="D4" s="186"/>
      <c r="E4" s="186"/>
      <c r="F4" s="186"/>
      <c r="G4" s="186"/>
      <c r="H4" s="186"/>
      <c r="I4" s="186"/>
    </row>
    <row r="5" spans="2:9" ht="15">
      <c r="B5" s="186"/>
      <c r="C5" s="186"/>
      <c r="D5" s="186"/>
      <c r="E5" s="186"/>
      <c r="F5" s="186"/>
      <c r="G5" s="186"/>
      <c r="H5" s="186"/>
      <c r="I5" s="186"/>
    </row>
    <row r="6" spans="2:9" ht="15">
      <c r="B6" s="186" t="s">
        <v>110</v>
      </c>
      <c r="C6" s="186"/>
      <c r="D6" s="186"/>
      <c r="E6" s="186"/>
      <c r="F6" s="186"/>
      <c r="G6" s="187"/>
      <c r="H6" s="186"/>
      <c r="I6" s="188">
        <f>2773309.12+6587.81</f>
        <v>2779896.93</v>
      </c>
    </row>
    <row r="7" spans="2:9" ht="15">
      <c r="B7" s="186" t="s">
        <v>462</v>
      </c>
      <c r="C7" s="186"/>
      <c r="D7" s="186"/>
      <c r="E7" s="186"/>
      <c r="F7" s="186"/>
      <c r="G7" s="186"/>
      <c r="H7" s="186"/>
      <c r="I7" s="188">
        <v>1000000</v>
      </c>
    </row>
    <row r="8" spans="2:9" ht="15">
      <c r="B8" s="186" t="s">
        <v>463</v>
      </c>
      <c r="C8" s="186"/>
      <c r="D8" s="186"/>
      <c r="E8" s="186"/>
      <c r="F8" s="189"/>
      <c r="G8" s="186"/>
      <c r="H8" s="186"/>
      <c r="I8" s="190">
        <f>I9+I10</f>
        <v>309042.12</v>
      </c>
    </row>
    <row r="9" spans="2:9" ht="15">
      <c r="B9" s="186"/>
      <c r="C9" s="186"/>
      <c r="D9" s="186"/>
      <c r="E9" s="186"/>
      <c r="F9" s="191" t="s">
        <v>464</v>
      </c>
      <c r="G9" s="192" t="s">
        <v>465</v>
      </c>
      <c r="H9" s="186"/>
      <c r="I9" s="188">
        <v>124564.12</v>
      </c>
    </row>
    <row r="10" spans="2:9" ht="15">
      <c r="B10" s="186"/>
      <c r="C10" s="186"/>
      <c r="D10" s="186"/>
      <c r="E10" s="186"/>
      <c r="F10" s="191" t="s">
        <v>466</v>
      </c>
      <c r="G10" s="192" t="s">
        <v>467</v>
      </c>
      <c r="H10" s="186"/>
      <c r="I10" s="188">
        <v>184478</v>
      </c>
    </row>
    <row r="11" spans="2:9" ht="15">
      <c r="B11" s="186" t="s">
        <v>472</v>
      </c>
      <c r="C11" s="186"/>
      <c r="D11" s="186"/>
      <c r="E11" s="186"/>
      <c r="F11" s="186"/>
      <c r="G11" s="186"/>
      <c r="H11" s="186"/>
      <c r="I11" s="188">
        <f>I6+I7-I9</f>
        <v>3655332.81</v>
      </c>
    </row>
    <row r="12" spans="2:9" ht="15">
      <c r="B12" s="186" t="s">
        <v>473</v>
      </c>
      <c r="C12" s="186"/>
      <c r="D12" s="186"/>
      <c r="E12" s="186"/>
      <c r="F12" s="186"/>
      <c r="G12" s="186"/>
      <c r="H12" s="186"/>
      <c r="I12" s="188">
        <v>17825130</v>
      </c>
    </row>
    <row r="13" spans="2:9" ht="15">
      <c r="B13" s="186" t="s">
        <v>468</v>
      </c>
      <c r="C13" s="186"/>
      <c r="D13" s="186"/>
      <c r="E13" s="186"/>
      <c r="F13" s="186"/>
      <c r="G13" s="186"/>
      <c r="H13" s="186"/>
      <c r="I13" s="188"/>
    </row>
    <row r="14" spans="2:9" ht="15">
      <c r="B14" s="186" t="s">
        <v>474</v>
      </c>
      <c r="C14" s="186"/>
      <c r="D14" s="186"/>
      <c r="E14" s="186"/>
      <c r="F14" s="186"/>
      <c r="G14" s="186"/>
      <c r="H14" s="186"/>
      <c r="I14" s="193">
        <f>I8/I12</f>
        <v>0.01733743989524901</v>
      </c>
    </row>
    <row r="15" spans="2:9" ht="15">
      <c r="B15" s="186" t="s">
        <v>469</v>
      </c>
      <c r="C15" s="186"/>
      <c r="D15" s="186"/>
      <c r="E15" s="186"/>
      <c r="F15" s="186"/>
      <c r="G15" s="186"/>
      <c r="H15" s="186"/>
      <c r="I15" s="188"/>
    </row>
    <row r="16" spans="2:9" ht="15">
      <c r="B16" s="186" t="s">
        <v>470</v>
      </c>
      <c r="C16" s="186"/>
      <c r="D16" s="186"/>
      <c r="E16" s="186"/>
      <c r="F16" s="186"/>
      <c r="G16" s="186"/>
      <c r="H16" s="186"/>
      <c r="I16" s="193">
        <f>I11/I12</f>
        <v>0.20506626375235412</v>
      </c>
    </row>
    <row r="17" spans="2:9" ht="15">
      <c r="B17" s="186"/>
      <c r="C17" s="186"/>
      <c r="D17" s="186"/>
      <c r="E17" s="186"/>
      <c r="F17" s="186"/>
      <c r="G17" s="186"/>
      <c r="H17" s="186"/>
      <c r="I17" s="188"/>
    </row>
    <row r="18" spans="2:9" ht="15">
      <c r="B18" s="185" t="s">
        <v>475</v>
      </c>
      <c r="C18" s="186"/>
      <c r="D18" s="186"/>
      <c r="E18" s="186"/>
      <c r="F18" s="186"/>
      <c r="G18" s="186"/>
      <c r="H18" s="186"/>
      <c r="I18" s="186"/>
    </row>
    <row r="19" spans="2:9" ht="15">
      <c r="B19" s="186"/>
      <c r="C19" s="186"/>
      <c r="D19" s="186"/>
      <c r="E19" s="186"/>
      <c r="F19" s="186"/>
      <c r="G19" s="186"/>
      <c r="H19" s="186"/>
      <c r="I19" s="186"/>
    </row>
    <row r="20" spans="2:9" ht="15">
      <c r="B20" s="186" t="s">
        <v>471</v>
      </c>
      <c r="C20" s="186"/>
      <c r="D20" s="186"/>
      <c r="E20" s="186"/>
      <c r="F20" s="186"/>
      <c r="G20" s="186"/>
      <c r="H20" s="187"/>
      <c r="I20" s="188">
        <f>I11</f>
        <v>3655332.81</v>
      </c>
    </row>
    <row r="21" spans="2:9" ht="15">
      <c r="B21" s="186" t="s">
        <v>462</v>
      </c>
      <c r="C21" s="186"/>
      <c r="D21" s="186"/>
      <c r="E21" s="186"/>
      <c r="F21" s="186"/>
      <c r="G21" s="186"/>
      <c r="H21" s="186"/>
      <c r="I21" s="188">
        <v>0</v>
      </c>
    </row>
    <row r="22" spans="2:9" ht="15">
      <c r="B22" s="186" t="s">
        <v>463</v>
      </c>
      <c r="C22" s="186"/>
      <c r="D22" s="186"/>
      <c r="E22" s="186"/>
      <c r="F22" s="186"/>
      <c r="G22" s="186"/>
      <c r="H22" s="186"/>
      <c r="I22" s="190">
        <f>I23+I24</f>
        <v>484615.35</v>
      </c>
    </row>
    <row r="23" spans="2:9" ht="15">
      <c r="B23" s="186"/>
      <c r="C23" s="186"/>
      <c r="D23" s="186"/>
      <c r="E23" s="186"/>
      <c r="F23" s="191" t="s">
        <v>464</v>
      </c>
      <c r="G23" s="192" t="s">
        <v>465</v>
      </c>
      <c r="H23" s="186"/>
      <c r="I23" s="188">
        <v>283389.12</v>
      </c>
    </row>
    <row r="24" spans="2:9" ht="15">
      <c r="B24" s="186"/>
      <c r="C24" s="186"/>
      <c r="D24" s="186"/>
      <c r="E24" s="186"/>
      <c r="F24" s="191" t="s">
        <v>466</v>
      </c>
      <c r="G24" s="192" t="s">
        <v>467</v>
      </c>
      <c r="H24" s="186"/>
      <c r="I24" s="188">
        <v>201226.23</v>
      </c>
    </row>
    <row r="25" spans="2:9" ht="15">
      <c r="B25" s="186" t="s">
        <v>476</v>
      </c>
      <c r="C25" s="186"/>
      <c r="D25" s="186"/>
      <c r="E25" s="186"/>
      <c r="F25" s="186"/>
      <c r="G25" s="186"/>
      <c r="H25" s="186"/>
      <c r="I25" s="188">
        <f>I20+I21-I23</f>
        <v>3371943.69</v>
      </c>
    </row>
    <row r="26" spans="2:9" ht="15">
      <c r="B26" s="186" t="s">
        <v>477</v>
      </c>
      <c r="C26" s="186"/>
      <c r="D26" s="186"/>
      <c r="E26" s="186"/>
      <c r="F26" s="186"/>
      <c r="G26" s="186"/>
      <c r="H26" s="186"/>
      <c r="I26" s="188">
        <v>15900000</v>
      </c>
    </row>
    <row r="27" spans="2:9" ht="15">
      <c r="B27" s="186" t="s">
        <v>468</v>
      </c>
      <c r="C27" s="186"/>
      <c r="D27" s="186"/>
      <c r="E27" s="186"/>
      <c r="F27" s="186"/>
      <c r="G27" s="186"/>
      <c r="H27" s="186"/>
      <c r="I27" s="188"/>
    </row>
    <row r="28" spans="2:9" ht="15">
      <c r="B28" s="186" t="s">
        <v>478</v>
      </c>
      <c r="C28" s="186"/>
      <c r="D28" s="186"/>
      <c r="E28" s="186"/>
      <c r="F28" s="186"/>
      <c r="G28" s="186"/>
      <c r="H28" s="186"/>
      <c r="I28" s="193">
        <f>I22/I26</f>
        <v>0.03047895283018868</v>
      </c>
    </row>
    <row r="29" spans="2:9" ht="15">
      <c r="B29" s="186" t="s">
        <v>469</v>
      </c>
      <c r="C29" s="186"/>
      <c r="D29" s="186"/>
      <c r="E29" s="186"/>
      <c r="F29" s="186"/>
      <c r="G29" s="186"/>
      <c r="H29" s="186"/>
      <c r="I29" s="188"/>
    </row>
    <row r="30" spans="2:9" ht="15">
      <c r="B30" s="186" t="s">
        <v>470</v>
      </c>
      <c r="C30" s="186"/>
      <c r="D30" s="186"/>
      <c r="E30" s="186"/>
      <c r="F30" s="186"/>
      <c r="G30" s="186"/>
      <c r="H30" s="186"/>
      <c r="I30" s="193">
        <f>I25/I26</f>
        <v>0.21207193018867923</v>
      </c>
    </row>
    <row r="31" spans="2:9" ht="15">
      <c r="B31" s="186"/>
      <c r="C31" s="186"/>
      <c r="D31" s="186"/>
      <c r="E31" s="186"/>
      <c r="F31" s="186"/>
      <c r="G31" s="186"/>
      <c r="H31" s="186"/>
      <c r="I31" s="186"/>
    </row>
    <row r="32" spans="2:9" ht="15">
      <c r="B32" s="185" t="s">
        <v>479</v>
      </c>
      <c r="C32" s="186"/>
      <c r="D32" s="186"/>
      <c r="E32" s="186"/>
      <c r="F32" s="186"/>
      <c r="G32" s="186"/>
      <c r="H32" s="186"/>
      <c r="I32" s="186"/>
    </row>
    <row r="33" spans="2:9" ht="15">
      <c r="B33" s="186"/>
      <c r="C33" s="186"/>
      <c r="D33" s="186"/>
      <c r="E33" s="186"/>
      <c r="F33" s="186"/>
      <c r="G33" s="186"/>
      <c r="H33" s="186"/>
      <c r="I33" s="186"/>
    </row>
    <row r="34" spans="2:9" ht="15">
      <c r="B34" s="186" t="s">
        <v>471</v>
      </c>
      <c r="C34" s="186"/>
      <c r="D34" s="186"/>
      <c r="E34" s="186"/>
      <c r="F34" s="186"/>
      <c r="G34" s="186"/>
      <c r="H34" s="187"/>
      <c r="I34" s="188">
        <f>I25</f>
        <v>3371943.69</v>
      </c>
    </row>
    <row r="35" spans="2:9" ht="15">
      <c r="B35" s="186" t="s">
        <v>462</v>
      </c>
      <c r="C35" s="186"/>
      <c r="D35" s="186"/>
      <c r="E35" s="186"/>
      <c r="F35" s="186"/>
      <c r="G35" s="186"/>
      <c r="H35" s="186"/>
      <c r="I35" s="188">
        <v>0</v>
      </c>
    </row>
    <row r="36" spans="2:9" ht="15">
      <c r="B36" s="186" t="s">
        <v>463</v>
      </c>
      <c r="C36" s="186"/>
      <c r="D36" s="186"/>
      <c r="E36" s="186"/>
      <c r="F36" s="186"/>
      <c r="G36" s="186"/>
      <c r="H36" s="186"/>
      <c r="I36" s="190">
        <f>I37+I38</f>
        <v>521676.1</v>
      </c>
    </row>
    <row r="37" spans="2:9" ht="15">
      <c r="B37" s="186"/>
      <c r="C37" s="186"/>
      <c r="D37" s="186"/>
      <c r="E37" s="186"/>
      <c r="F37" s="191" t="s">
        <v>464</v>
      </c>
      <c r="G37" s="192" t="s">
        <v>465</v>
      </c>
      <c r="H37" s="186"/>
      <c r="I37" s="188">
        <v>346764.12</v>
      </c>
    </row>
    <row r="38" spans="2:9" ht="15">
      <c r="B38" s="186"/>
      <c r="C38" s="186"/>
      <c r="D38" s="186"/>
      <c r="E38" s="186"/>
      <c r="F38" s="191" t="s">
        <v>466</v>
      </c>
      <c r="G38" s="192" t="s">
        <v>467</v>
      </c>
      <c r="H38" s="186"/>
      <c r="I38" s="188">
        <v>174911.98</v>
      </c>
    </row>
    <row r="39" spans="2:9" ht="15">
      <c r="B39" s="186" t="s">
        <v>480</v>
      </c>
      <c r="C39" s="186"/>
      <c r="D39" s="186"/>
      <c r="E39" s="186"/>
      <c r="F39" s="186"/>
      <c r="G39" s="186"/>
      <c r="H39" s="186"/>
      <c r="I39" s="188">
        <f>I34+I35-I37</f>
        <v>3025179.57</v>
      </c>
    </row>
    <row r="40" spans="2:9" ht="15">
      <c r="B40" s="186" t="s">
        <v>481</v>
      </c>
      <c r="C40" s="186"/>
      <c r="D40" s="186"/>
      <c r="E40" s="186"/>
      <c r="F40" s="186"/>
      <c r="G40" s="186"/>
      <c r="H40" s="186"/>
      <c r="I40" s="188">
        <v>14300000</v>
      </c>
    </row>
    <row r="41" spans="2:9" ht="15">
      <c r="B41" s="186" t="s">
        <v>468</v>
      </c>
      <c r="C41" s="186"/>
      <c r="D41" s="186"/>
      <c r="E41" s="186"/>
      <c r="F41" s="186"/>
      <c r="G41" s="186"/>
      <c r="H41" s="186"/>
      <c r="I41" s="188"/>
    </row>
    <row r="42" spans="2:9" ht="15">
      <c r="B42" s="186" t="s">
        <v>482</v>
      </c>
      <c r="C42" s="186"/>
      <c r="D42" s="186"/>
      <c r="E42" s="186"/>
      <c r="F42" s="186"/>
      <c r="G42" s="186"/>
      <c r="H42" s="186"/>
      <c r="I42" s="193">
        <f>I36/I40</f>
        <v>0.036480846153846155</v>
      </c>
    </row>
    <row r="43" spans="2:9" ht="15">
      <c r="B43" s="186" t="s">
        <v>469</v>
      </c>
      <c r="C43" s="186"/>
      <c r="D43" s="186"/>
      <c r="E43" s="186"/>
      <c r="F43" s="186"/>
      <c r="G43" s="186"/>
      <c r="H43" s="186"/>
      <c r="I43" s="188"/>
    </row>
    <row r="44" spans="2:9" ht="15">
      <c r="B44" s="186" t="s">
        <v>470</v>
      </c>
      <c r="C44" s="186"/>
      <c r="D44" s="186"/>
      <c r="E44" s="186"/>
      <c r="F44" s="186"/>
      <c r="G44" s="186"/>
      <c r="H44" s="186"/>
      <c r="I44" s="193">
        <f>I39/I40</f>
        <v>0.21155101888111888</v>
      </c>
    </row>
    <row r="45" spans="2:9" ht="15">
      <c r="B45" s="186"/>
      <c r="C45" s="186"/>
      <c r="D45" s="186"/>
      <c r="E45" s="186"/>
      <c r="F45" s="186"/>
      <c r="G45" s="186"/>
      <c r="H45" s="186"/>
      <c r="I45" s="186"/>
    </row>
    <row r="46" spans="2:9" ht="15">
      <c r="B46" s="185" t="s">
        <v>483</v>
      </c>
      <c r="C46" s="186"/>
      <c r="D46" s="186"/>
      <c r="E46" s="186"/>
      <c r="F46" s="186"/>
      <c r="G46" s="186"/>
      <c r="H46" s="186"/>
      <c r="I46" s="186"/>
    </row>
    <row r="47" spans="2:9" ht="15">
      <c r="B47" s="186"/>
      <c r="C47" s="186"/>
      <c r="D47" s="186"/>
      <c r="E47" s="186"/>
      <c r="F47" s="186"/>
      <c r="G47" s="186"/>
      <c r="H47" s="186"/>
      <c r="I47" s="186"/>
    </row>
    <row r="48" spans="2:9" ht="15">
      <c r="B48" s="186" t="s">
        <v>471</v>
      </c>
      <c r="C48" s="186"/>
      <c r="D48" s="186"/>
      <c r="E48" s="186"/>
      <c r="F48" s="186"/>
      <c r="G48" s="186"/>
      <c r="H48" s="187"/>
      <c r="I48" s="188">
        <f>I39</f>
        <v>3025179.57</v>
      </c>
    </row>
    <row r="49" spans="2:9" ht="15">
      <c r="B49" s="186" t="s">
        <v>462</v>
      </c>
      <c r="C49" s="186"/>
      <c r="D49" s="186"/>
      <c r="E49" s="186"/>
      <c r="F49" s="186"/>
      <c r="G49" s="186"/>
      <c r="H49" s="186"/>
      <c r="I49" s="188">
        <v>0</v>
      </c>
    </row>
    <row r="50" spans="2:9" ht="15">
      <c r="B50" s="186" t="s">
        <v>463</v>
      </c>
      <c r="C50" s="186"/>
      <c r="D50" s="186"/>
      <c r="E50" s="186"/>
      <c r="F50" s="186"/>
      <c r="G50" s="186"/>
      <c r="H50" s="186"/>
      <c r="I50" s="190">
        <f>I51+I52</f>
        <v>441467.93</v>
      </c>
    </row>
    <row r="51" spans="2:9" ht="15">
      <c r="B51" s="186"/>
      <c r="C51" s="186"/>
      <c r="D51" s="186"/>
      <c r="E51" s="186"/>
      <c r="F51" s="191" t="s">
        <v>464</v>
      </c>
      <c r="G51" s="192" t="s">
        <v>465</v>
      </c>
      <c r="H51" s="186"/>
      <c r="I51" s="188">
        <v>302964.12</v>
      </c>
    </row>
    <row r="52" spans="2:9" ht="15">
      <c r="B52" s="186"/>
      <c r="C52" s="186"/>
      <c r="D52" s="186"/>
      <c r="E52" s="186"/>
      <c r="F52" s="191" t="s">
        <v>466</v>
      </c>
      <c r="G52" s="192" t="s">
        <v>467</v>
      </c>
      <c r="H52" s="186"/>
      <c r="I52" s="188">
        <v>138503.81</v>
      </c>
    </row>
    <row r="53" spans="2:9" ht="15">
      <c r="B53" s="186" t="s">
        <v>484</v>
      </c>
      <c r="C53" s="186"/>
      <c r="D53" s="186"/>
      <c r="E53" s="186"/>
      <c r="F53" s="186"/>
      <c r="G53" s="186"/>
      <c r="H53" s="186"/>
      <c r="I53" s="188">
        <f>I48+I49-I51</f>
        <v>2722215.4499999997</v>
      </c>
    </row>
    <row r="54" spans="2:9" ht="15">
      <c r="B54" s="186" t="s">
        <v>485</v>
      </c>
      <c r="C54" s="186"/>
      <c r="D54" s="186"/>
      <c r="E54" s="186"/>
      <c r="F54" s="186"/>
      <c r="G54" s="186"/>
      <c r="H54" s="186"/>
      <c r="I54" s="188">
        <v>13500000</v>
      </c>
    </row>
    <row r="55" spans="2:9" ht="15">
      <c r="B55" s="186" t="s">
        <v>468</v>
      </c>
      <c r="C55" s="186"/>
      <c r="D55" s="186"/>
      <c r="E55" s="186"/>
      <c r="F55" s="186"/>
      <c r="G55" s="186"/>
      <c r="H55" s="186"/>
      <c r="I55" s="188"/>
    </row>
    <row r="56" spans="2:9" ht="15">
      <c r="B56" s="186" t="s">
        <v>486</v>
      </c>
      <c r="C56" s="186"/>
      <c r="D56" s="186"/>
      <c r="E56" s="186"/>
      <c r="F56" s="186"/>
      <c r="G56" s="186"/>
      <c r="H56" s="186"/>
      <c r="I56" s="193">
        <f>I50/I54</f>
        <v>0.03270132814814815</v>
      </c>
    </row>
    <row r="57" spans="2:9" ht="15">
      <c r="B57" s="186" t="s">
        <v>469</v>
      </c>
      <c r="C57" s="186"/>
      <c r="D57" s="186"/>
      <c r="E57" s="186"/>
      <c r="F57" s="186"/>
      <c r="G57" s="186"/>
      <c r="H57" s="186"/>
      <c r="I57" s="188"/>
    </row>
    <row r="58" spans="2:9" ht="15">
      <c r="B58" s="186" t="s">
        <v>470</v>
      </c>
      <c r="C58" s="186"/>
      <c r="D58" s="186"/>
      <c r="E58" s="186"/>
      <c r="F58" s="186"/>
      <c r="G58" s="186"/>
      <c r="H58" s="186"/>
      <c r="I58" s="193">
        <f>I53/I54</f>
        <v>0.20164558888888887</v>
      </c>
    </row>
    <row r="59" spans="2:9" ht="15">
      <c r="B59" s="186"/>
      <c r="C59" s="186"/>
      <c r="D59" s="186"/>
      <c r="E59" s="186"/>
      <c r="F59" s="186"/>
      <c r="G59" s="186"/>
      <c r="H59" s="186"/>
      <c r="I59" s="186"/>
    </row>
    <row r="60" spans="2:9" ht="15">
      <c r="B60" s="185" t="s">
        <v>487</v>
      </c>
      <c r="C60" s="186"/>
      <c r="D60" s="186"/>
      <c r="E60" s="186"/>
      <c r="F60" s="186"/>
      <c r="G60" s="186"/>
      <c r="H60" s="186"/>
      <c r="I60" s="186"/>
    </row>
    <row r="61" spans="2:9" ht="15">
      <c r="B61" s="186"/>
      <c r="C61" s="186"/>
      <c r="D61" s="186"/>
      <c r="E61" s="186"/>
      <c r="F61" s="186"/>
      <c r="G61" s="186"/>
      <c r="H61" s="186"/>
      <c r="I61" s="186"/>
    </row>
    <row r="62" spans="2:9" ht="15">
      <c r="B62" s="186" t="s">
        <v>471</v>
      </c>
      <c r="C62" s="186"/>
      <c r="D62" s="186"/>
      <c r="E62" s="186"/>
      <c r="F62" s="186"/>
      <c r="G62" s="186"/>
      <c r="H62" s="187"/>
      <c r="I62" s="188">
        <f>I53</f>
        <v>2722215.4499999997</v>
      </c>
    </row>
    <row r="63" spans="2:9" ht="15">
      <c r="B63" s="186" t="s">
        <v>462</v>
      </c>
      <c r="C63" s="186"/>
      <c r="D63" s="186"/>
      <c r="E63" s="186"/>
      <c r="F63" s="186"/>
      <c r="G63" s="186"/>
      <c r="H63" s="186"/>
      <c r="I63" s="188">
        <v>0</v>
      </c>
    </row>
    <row r="64" spans="2:9" ht="15">
      <c r="B64" s="186" t="s">
        <v>463</v>
      </c>
      <c r="C64" s="186"/>
      <c r="D64" s="186"/>
      <c r="E64" s="186"/>
      <c r="F64" s="186"/>
      <c r="G64" s="186"/>
      <c r="H64" s="186"/>
      <c r="I64" s="190">
        <f>I65+I66</f>
        <v>425363.17</v>
      </c>
    </row>
    <row r="65" spans="2:9" ht="15">
      <c r="B65" s="186"/>
      <c r="C65" s="186"/>
      <c r="D65" s="186"/>
      <c r="E65" s="186"/>
      <c r="F65" s="191" t="s">
        <v>464</v>
      </c>
      <c r="G65" s="192" t="s">
        <v>465</v>
      </c>
      <c r="H65" s="186"/>
      <c r="I65" s="188">
        <v>302964.12</v>
      </c>
    </row>
    <row r="66" spans="2:9" ht="15">
      <c r="B66" s="186"/>
      <c r="C66" s="186"/>
      <c r="D66" s="186"/>
      <c r="E66" s="186"/>
      <c r="F66" s="191" t="s">
        <v>466</v>
      </c>
      <c r="G66" s="192" t="s">
        <v>467</v>
      </c>
      <c r="H66" s="186"/>
      <c r="I66" s="188">
        <v>122399.05</v>
      </c>
    </row>
    <row r="67" spans="2:9" ht="15">
      <c r="B67" s="186" t="s">
        <v>488</v>
      </c>
      <c r="C67" s="186"/>
      <c r="D67" s="186"/>
      <c r="E67" s="186"/>
      <c r="F67" s="186"/>
      <c r="G67" s="186"/>
      <c r="H67" s="186"/>
      <c r="I67" s="188">
        <f>I62+I63-I65</f>
        <v>2419251.3299999996</v>
      </c>
    </row>
    <row r="68" spans="2:9" ht="15">
      <c r="B68" s="186" t="s">
        <v>489</v>
      </c>
      <c r="C68" s="186"/>
      <c r="D68" s="186"/>
      <c r="E68" s="186"/>
      <c r="F68" s="186"/>
      <c r="G68" s="186"/>
      <c r="H68" s="186"/>
      <c r="I68" s="188">
        <v>13500000</v>
      </c>
    </row>
    <row r="69" spans="2:9" ht="15">
      <c r="B69" s="186" t="s">
        <v>468</v>
      </c>
      <c r="C69" s="186"/>
      <c r="D69" s="186"/>
      <c r="E69" s="186"/>
      <c r="F69" s="186"/>
      <c r="G69" s="186"/>
      <c r="H69" s="186"/>
      <c r="I69" s="188"/>
    </row>
    <row r="70" spans="2:9" ht="15">
      <c r="B70" s="186" t="s">
        <v>490</v>
      </c>
      <c r="C70" s="186"/>
      <c r="D70" s="186"/>
      <c r="E70" s="186"/>
      <c r="F70" s="186"/>
      <c r="G70" s="186"/>
      <c r="H70" s="186"/>
      <c r="I70" s="193">
        <f>I64/I68</f>
        <v>0.03150838296296296</v>
      </c>
    </row>
    <row r="71" spans="2:9" ht="15">
      <c r="B71" s="186" t="s">
        <v>469</v>
      </c>
      <c r="C71" s="186"/>
      <c r="D71" s="186"/>
      <c r="E71" s="186"/>
      <c r="F71" s="186"/>
      <c r="G71" s="186"/>
      <c r="H71" s="186"/>
      <c r="I71" s="188"/>
    </row>
    <row r="72" spans="2:9" ht="15">
      <c r="B72" s="186" t="s">
        <v>470</v>
      </c>
      <c r="C72" s="186"/>
      <c r="D72" s="186"/>
      <c r="E72" s="186"/>
      <c r="F72" s="186"/>
      <c r="G72" s="186"/>
      <c r="H72" s="186"/>
      <c r="I72" s="193">
        <f>I67/I68</f>
        <v>0.17920380222222218</v>
      </c>
    </row>
    <row r="73" spans="2:9" ht="15">
      <c r="B73" s="186"/>
      <c r="C73" s="186"/>
      <c r="D73" s="186"/>
      <c r="E73" s="186"/>
      <c r="F73" s="186"/>
      <c r="G73" s="186"/>
      <c r="H73" s="186"/>
      <c r="I73" s="186"/>
    </row>
    <row r="74" spans="2:9" ht="15">
      <c r="B74" s="185" t="s">
        <v>491</v>
      </c>
      <c r="C74" s="186"/>
      <c r="D74" s="186"/>
      <c r="E74" s="186"/>
      <c r="F74" s="186"/>
      <c r="G74" s="186"/>
      <c r="H74" s="186"/>
      <c r="I74" s="186"/>
    </row>
    <row r="75" spans="2:9" ht="15">
      <c r="B75" s="186"/>
      <c r="C75" s="186"/>
      <c r="D75" s="186"/>
      <c r="E75" s="186"/>
      <c r="F75" s="186"/>
      <c r="G75" s="186"/>
      <c r="H75" s="186"/>
      <c r="I75" s="186"/>
    </row>
    <row r="76" spans="2:9" ht="15">
      <c r="B76" s="186" t="s">
        <v>471</v>
      </c>
      <c r="C76" s="186"/>
      <c r="D76" s="186"/>
      <c r="E76" s="186"/>
      <c r="F76" s="186"/>
      <c r="G76" s="186"/>
      <c r="H76" s="187"/>
      <c r="I76" s="188">
        <f>I67</f>
        <v>2419251.3299999996</v>
      </c>
    </row>
    <row r="77" spans="2:9" ht="15">
      <c r="B77" s="186" t="s">
        <v>462</v>
      </c>
      <c r="C77" s="186"/>
      <c r="D77" s="186"/>
      <c r="E77" s="186"/>
      <c r="F77" s="186"/>
      <c r="G77" s="186"/>
      <c r="H77" s="186"/>
      <c r="I77" s="188">
        <v>0</v>
      </c>
    </row>
    <row r="78" spans="2:9" ht="15">
      <c r="B78" s="186" t="s">
        <v>463</v>
      </c>
      <c r="C78" s="186"/>
      <c r="D78" s="186"/>
      <c r="E78" s="186"/>
      <c r="F78" s="186"/>
      <c r="G78" s="186"/>
      <c r="H78" s="186"/>
      <c r="I78" s="190">
        <f>I79+I80</f>
        <v>409258.41</v>
      </c>
    </row>
    <row r="79" spans="2:9" ht="15">
      <c r="B79" s="186"/>
      <c r="C79" s="186"/>
      <c r="D79" s="186"/>
      <c r="E79" s="186"/>
      <c r="F79" s="191" t="s">
        <v>464</v>
      </c>
      <c r="G79" s="192" t="s">
        <v>465</v>
      </c>
      <c r="H79" s="186"/>
      <c r="I79" s="188">
        <v>302964.12</v>
      </c>
    </row>
    <row r="80" spans="2:9" ht="15">
      <c r="B80" s="186"/>
      <c r="C80" s="186"/>
      <c r="D80" s="186"/>
      <c r="E80" s="186"/>
      <c r="F80" s="191" t="s">
        <v>466</v>
      </c>
      <c r="G80" s="192" t="s">
        <v>467</v>
      </c>
      <c r="H80" s="186"/>
      <c r="I80" s="188">
        <v>106294.29</v>
      </c>
    </row>
    <row r="81" spans="2:9" ht="15">
      <c r="B81" s="186" t="s">
        <v>492</v>
      </c>
      <c r="C81" s="186"/>
      <c r="D81" s="186"/>
      <c r="E81" s="186"/>
      <c r="F81" s="186"/>
      <c r="G81" s="186"/>
      <c r="H81" s="186"/>
      <c r="I81" s="188">
        <f>I76+I77-I79</f>
        <v>2116287.2099999995</v>
      </c>
    </row>
    <row r="82" spans="2:9" ht="15">
      <c r="B82" s="186" t="s">
        <v>493</v>
      </c>
      <c r="C82" s="186"/>
      <c r="D82" s="186"/>
      <c r="E82" s="186"/>
      <c r="F82" s="186"/>
      <c r="G82" s="186"/>
      <c r="H82" s="186"/>
      <c r="I82" s="188">
        <v>13500000</v>
      </c>
    </row>
    <row r="83" spans="2:9" ht="15">
      <c r="B83" s="186" t="s">
        <v>468</v>
      </c>
      <c r="C83" s="186"/>
      <c r="D83" s="186"/>
      <c r="E83" s="186"/>
      <c r="F83" s="186"/>
      <c r="G83" s="186"/>
      <c r="H83" s="186"/>
      <c r="I83" s="188"/>
    </row>
    <row r="84" spans="2:9" ht="15">
      <c r="B84" s="186" t="s">
        <v>494</v>
      </c>
      <c r="C84" s="186"/>
      <c r="D84" s="186"/>
      <c r="E84" s="186"/>
      <c r="F84" s="186"/>
      <c r="G84" s="186"/>
      <c r="H84" s="186"/>
      <c r="I84" s="193">
        <f>I78/I82</f>
        <v>0.030315437777777777</v>
      </c>
    </row>
    <row r="85" spans="2:9" ht="15">
      <c r="B85" s="186" t="s">
        <v>469</v>
      </c>
      <c r="C85" s="186"/>
      <c r="D85" s="186"/>
      <c r="E85" s="186"/>
      <c r="F85" s="186"/>
      <c r="G85" s="186"/>
      <c r="H85" s="186"/>
      <c r="I85" s="188"/>
    </row>
    <row r="86" spans="2:9" ht="15">
      <c r="B86" s="186" t="s">
        <v>470</v>
      </c>
      <c r="C86" s="186"/>
      <c r="D86" s="186"/>
      <c r="E86" s="186"/>
      <c r="F86" s="186"/>
      <c r="G86" s="186"/>
      <c r="H86" s="186"/>
      <c r="I86" s="193">
        <f>I81/I82</f>
        <v>0.15676201555555552</v>
      </c>
    </row>
    <row r="87" spans="2:9" ht="15">
      <c r="B87" s="186"/>
      <c r="C87" s="186"/>
      <c r="D87" s="186"/>
      <c r="E87" s="186"/>
      <c r="F87" s="186"/>
      <c r="G87" s="186"/>
      <c r="H87" s="186"/>
      <c r="I87" s="186"/>
    </row>
    <row r="88" spans="2:9" ht="15">
      <c r="B88" s="185" t="s">
        <v>495</v>
      </c>
      <c r="C88" s="186"/>
      <c r="D88" s="186"/>
      <c r="E88" s="186"/>
      <c r="F88" s="186"/>
      <c r="G88" s="186"/>
      <c r="H88" s="186"/>
      <c r="I88" s="186"/>
    </row>
    <row r="89" spans="2:9" ht="15">
      <c r="B89" s="186"/>
      <c r="C89" s="186"/>
      <c r="D89" s="186"/>
      <c r="E89" s="186"/>
      <c r="F89" s="186"/>
      <c r="G89" s="186"/>
      <c r="H89" s="186"/>
      <c r="I89" s="186"/>
    </row>
    <row r="90" spans="2:9" ht="15">
      <c r="B90" s="186" t="s">
        <v>471</v>
      </c>
      <c r="C90" s="186"/>
      <c r="D90" s="186"/>
      <c r="E90" s="186"/>
      <c r="F90" s="186"/>
      <c r="G90" s="186"/>
      <c r="H90" s="187"/>
      <c r="I90" s="188">
        <f>I81</f>
        <v>2116287.2099999995</v>
      </c>
    </row>
    <row r="91" spans="2:9" ht="15">
      <c r="B91" s="186" t="s">
        <v>462</v>
      </c>
      <c r="C91" s="186"/>
      <c r="D91" s="186"/>
      <c r="E91" s="186"/>
      <c r="F91" s="186"/>
      <c r="G91" s="186"/>
      <c r="H91" s="186"/>
      <c r="I91" s="188">
        <v>0</v>
      </c>
    </row>
    <row r="92" spans="2:9" ht="15">
      <c r="B92" s="186" t="s">
        <v>463</v>
      </c>
      <c r="C92" s="186"/>
      <c r="D92" s="186"/>
      <c r="E92" s="186"/>
      <c r="F92" s="186"/>
      <c r="G92" s="186"/>
      <c r="H92" s="186"/>
      <c r="I92" s="190">
        <f>I93+I94</f>
        <v>393153.65</v>
      </c>
    </row>
    <row r="93" spans="2:9" ht="15">
      <c r="B93" s="186"/>
      <c r="C93" s="186"/>
      <c r="D93" s="186"/>
      <c r="E93" s="186"/>
      <c r="F93" s="191" t="s">
        <v>464</v>
      </c>
      <c r="G93" s="192" t="s">
        <v>465</v>
      </c>
      <c r="H93" s="186"/>
      <c r="I93" s="188">
        <v>302964.12</v>
      </c>
    </row>
    <row r="94" spans="2:9" ht="15">
      <c r="B94" s="186"/>
      <c r="C94" s="186"/>
      <c r="D94" s="186"/>
      <c r="E94" s="186"/>
      <c r="F94" s="191" t="s">
        <v>466</v>
      </c>
      <c r="G94" s="192" t="s">
        <v>467</v>
      </c>
      <c r="H94" s="186"/>
      <c r="I94" s="188">
        <v>90189.53</v>
      </c>
    </row>
    <row r="95" spans="2:9" ht="15">
      <c r="B95" s="186" t="s">
        <v>496</v>
      </c>
      <c r="C95" s="186"/>
      <c r="D95" s="186"/>
      <c r="E95" s="186"/>
      <c r="F95" s="186"/>
      <c r="G95" s="186"/>
      <c r="H95" s="186"/>
      <c r="I95" s="188">
        <f>I90+I91-I93</f>
        <v>1813323.0899999994</v>
      </c>
    </row>
    <row r="96" spans="2:9" ht="15">
      <c r="B96" s="186" t="s">
        <v>497</v>
      </c>
      <c r="C96" s="186"/>
      <c r="D96" s="186"/>
      <c r="E96" s="186"/>
      <c r="F96" s="186"/>
      <c r="G96" s="186"/>
      <c r="H96" s="186"/>
      <c r="I96" s="188">
        <v>13500000</v>
      </c>
    </row>
    <row r="97" spans="2:9" ht="15">
      <c r="B97" s="186" t="s">
        <v>468</v>
      </c>
      <c r="C97" s="186"/>
      <c r="D97" s="186"/>
      <c r="E97" s="186"/>
      <c r="F97" s="186"/>
      <c r="G97" s="186"/>
      <c r="H97" s="186"/>
      <c r="I97" s="188"/>
    </row>
    <row r="98" spans="2:9" ht="15">
      <c r="B98" s="186" t="s">
        <v>498</v>
      </c>
      <c r="C98" s="186"/>
      <c r="D98" s="186"/>
      <c r="E98" s="186"/>
      <c r="F98" s="186"/>
      <c r="G98" s="186"/>
      <c r="H98" s="186"/>
      <c r="I98" s="193">
        <f>I92/I96</f>
        <v>0.029122492592592593</v>
      </c>
    </row>
    <row r="99" spans="2:9" ht="15">
      <c r="B99" s="186" t="s">
        <v>469</v>
      </c>
      <c r="C99" s="186"/>
      <c r="D99" s="186"/>
      <c r="E99" s="186"/>
      <c r="F99" s="186"/>
      <c r="G99" s="186"/>
      <c r="H99" s="186"/>
      <c r="I99" s="188"/>
    </row>
    <row r="100" spans="2:9" ht="15">
      <c r="B100" s="186" t="s">
        <v>470</v>
      </c>
      <c r="C100" s="186"/>
      <c r="D100" s="186"/>
      <c r="E100" s="186"/>
      <c r="F100" s="186"/>
      <c r="G100" s="186"/>
      <c r="H100" s="186"/>
      <c r="I100" s="193">
        <f>I95/I96</f>
        <v>0.13432022888888884</v>
      </c>
    </row>
    <row r="101" spans="2:9" ht="15">
      <c r="B101" s="186"/>
      <c r="C101" s="186"/>
      <c r="D101" s="186"/>
      <c r="E101" s="186"/>
      <c r="F101" s="186"/>
      <c r="G101" s="186"/>
      <c r="H101" s="186"/>
      <c r="I101" s="186"/>
    </row>
    <row r="102" spans="2:9" ht="15">
      <c r="B102" s="185" t="s">
        <v>499</v>
      </c>
      <c r="C102" s="186"/>
      <c r="D102" s="186"/>
      <c r="E102" s="186"/>
      <c r="F102" s="186"/>
      <c r="G102" s="186"/>
      <c r="H102" s="186"/>
      <c r="I102" s="186"/>
    </row>
    <row r="103" spans="2:9" ht="15">
      <c r="B103" s="186"/>
      <c r="C103" s="186"/>
      <c r="D103" s="186"/>
      <c r="E103" s="186"/>
      <c r="F103" s="186"/>
      <c r="G103" s="186"/>
      <c r="H103" s="186"/>
      <c r="I103" s="186"/>
    </row>
    <row r="104" spans="2:9" ht="15">
      <c r="B104" s="186" t="s">
        <v>471</v>
      </c>
      <c r="C104" s="186"/>
      <c r="D104" s="186"/>
      <c r="E104" s="186"/>
      <c r="F104" s="186"/>
      <c r="G104" s="186"/>
      <c r="H104" s="187"/>
      <c r="I104" s="188">
        <f>I95</f>
        <v>1813323.0899999994</v>
      </c>
    </row>
    <row r="105" spans="2:9" ht="15">
      <c r="B105" s="186" t="s">
        <v>462</v>
      </c>
      <c r="C105" s="186"/>
      <c r="D105" s="186"/>
      <c r="E105" s="186"/>
      <c r="F105" s="186"/>
      <c r="G105" s="186"/>
      <c r="H105" s="186"/>
      <c r="I105" s="188">
        <v>0</v>
      </c>
    </row>
    <row r="106" spans="2:9" ht="15">
      <c r="B106" s="186" t="s">
        <v>463</v>
      </c>
      <c r="C106" s="186"/>
      <c r="D106" s="186"/>
      <c r="E106" s="186"/>
      <c r="F106" s="186"/>
      <c r="G106" s="186"/>
      <c r="H106" s="186"/>
      <c r="I106" s="190">
        <f>I107+I108</f>
        <v>351178.86000000004</v>
      </c>
    </row>
    <row r="107" spans="2:9" ht="15">
      <c r="B107" s="186"/>
      <c r="C107" s="186"/>
      <c r="D107" s="186"/>
      <c r="E107" s="186"/>
      <c r="F107" s="191" t="s">
        <v>464</v>
      </c>
      <c r="G107" s="192" t="s">
        <v>465</v>
      </c>
      <c r="H107" s="186"/>
      <c r="I107" s="188">
        <v>277323.09</v>
      </c>
    </row>
    <row r="108" spans="2:9" ht="15">
      <c r="B108" s="186"/>
      <c r="C108" s="186"/>
      <c r="D108" s="186"/>
      <c r="E108" s="186"/>
      <c r="F108" s="191" t="s">
        <v>466</v>
      </c>
      <c r="G108" s="192" t="s">
        <v>467</v>
      </c>
      <c r="H108" s="186"/>
      <c r="I108" s="188">
        <v>73855.77</v>
      </c>
    </row>
    <row r="109" spans="2:9" ht="15">
      <c r="B109" s="186" t="s">
        <v>500</v>
      </c>
      <c r="C109" s="186"/>
      <c r="D109" s="186"/>
      <c r="E109" s="186"/>
      <c r="F109" s="186"/>
      <c r="G109" s="186"/>
      <c r="H109" s="186"/>
      <c r="I109" s="188">
        <f>I104+I105-I107</f>
        <v>1535999.9999999993</v>
      </c>
    </row>
    <row r="110" spans="2:9" ht="15">
      <c r="B110" s="186" t="s">
        <v>501</v>
      </c>
      <c r="C110" s="186"/>
      <c r="D110" s="186"/>
      <c r="E110" s="186"/>
      <c r="F110" s="186"/>
      <c r="G110" s="186"/>
      <c r="H110" s="186"/>
      <c r="I110" s="188">
        <v>13500000</v>
      </c>
    </row>
    <row r="111" spans="2:9" ht="15">
      <c r="B111" s="186" t="s">
        <v>468</v>
      </c>
      <c r="C111" s="186"/>
      <c r="D111" s="186"/>
      <c r="E111" s="186"/>
      <c r="F111" s="186"/>
      <c r="G111" s="186"/>
      <c r="H111" s="186"/>
      <c r="I111" s="188"/>
    </row>
    <row r="112" spans="2:9" ht="15">
      <c r="B112" s="186" t="s">
        <v>502</v>
      </c>
      <c r="C112" s="186"/>
      <c r="D112" s="186"/>
      <c r="E112" s="186"/>
      <c r="F112" s="186"/>
      <c r="G112" s="186"/>
      <c r="H112" s="186"/>
      <c r="I112" s="193">
        <f>I106/I110</f>
        <v>0.026013248888888892</v>
      </c>
    </row>
    <row r="113" spans="2:9" ht="15">
      <c r="B113" s="186" t="s">
        <v>469</v>
      </c>
      <c r="C113" s="186"/>
      <c r="D113" s="186"/>
      <c r="E113" s="186"/>
      <c r="F113" s="186"/>
      <c r="G113" s="186"/>
      <c r="H113" s="186"/>
      <c r="I113" s="188"/>
    </row>
    <row r="114" spans="2:9" ht="15">
      <c r="B114" s="186" t="s">
        <v>470</v>
      </c>
      <c r="C114" s="186"/>
      <c r="D114" s="186"/>
      <c r="E114" s="186"/>
      <c r="F114" s="186"/>
      <c r="G114" s="186"/>
      <c r="H114" s="186"/>
      <c r="I114" s="193">
        <f>I109/I110</f>
        <v>0.11377777777777773</v>
      </c>
    </row>
    <row r="115" spans="2:9" ht="15">
      <c r="B115" s="186"/>
      <c r="C115" s="186"/>
      <c r="D115" s="186"/>
      <c r="E115" s="186"/>
      <c r="F115" s="186"/>
      <c r="G115" s="186"/>
      <c r="H115" s="186"/>
      <c r="I115" s="186"/>
    </row>
    <row r="116" spans="2:9" ht="15">
      <c r="B116" s="185" t="s">
        <v>503</v>
      </c>
      <c r="C116" s="186"/>
      <c r="D116" s="186"/>
      <c r="E116" s="186"/>
      <c r="F116" s="186"/>
      <c r="G116" s="186"/>
      <c r="H116" s="186"/>
      <c r="I116" s="186"/>
    </row>
    <row r="117" spans="2:9" ht="15">
      <c r="B117" s="186"/>
      <c r="C117" s="186"/>
      <c r="D117" s="186"/>
      <c r="E117" s="186"/>
      <c r="F117" s="186"/>
      <c r="G117" s="186"/>
      <c r="H117" s="186"/>
      <c r="I117" s="186"/>
    </row>
    <row r="118" spans="2:9" ht="15">
      <c r="B118" s="186" t="s">
        <v>471</v>
      </c>
      <c r="C118" s="186"/>
      <c r="D118" s="186"/>
      <c r="E118" s="186"/>
      <c r="F118" s="186"/>
      <c r="G118" s="186"/>
      <c r="H118" s="187"/>
      <c r="I118" s="188">
        <f>I109</f>
        <v>1535999.9999999993</v>
      </c>
    </row>
    <row r="119" spans="2:9" ht="15">
      <c r="B119" s="186" t="s">
        <v>462</v>
      </c>
      <c r="C119" s="186"/>
      <c r="D119" s="186"/>
      <c r="E119" s="186"/>
      <c r="F119" s="186"/>
      <c r="G119" s="186"/>
      <c r="H119" s="186"/>
      <c r="I119" s="188">
        <v>0</v>
      </c>
    </row>
    <row r="120" spans="2:9" ht="15">
      <c r="B120" s="186" t="s">
        <v>463</v>
      </c>
      <c r="C120" s="186"/>
      <c r="D120" s="186"/>
      <c r="E120" s="186"/>
      <c r="F120" s="186"/>
      <c r="G120" s="186"/>
      <c r="H120" s="186"/>
      <c r="I120" s="190">
        <f>I121+I122</f>
        <v>373354.13</v>
      </c>
    </row>
    <row r="121" spans="2:9" ht="15">
      <c r="B121" s="186"/>
      <c r="C121" s="186"/>
      <c r="D121" s="186"/>
      <c r="E121" s="186"/>
      <c r="F121" s="191" t="s">
        <v>464</v>
      </c>
      <c r="G121" s="192" t="s">
        <v>465</v>
      </c>
      <c r="H121" s="186"/>
      <c r="I121" s="188">
        <v>302964.12</v>
      </c>
    </row>
    <row r="122" spans="2:9" ht="15">
      <c r="B122" s="186"/>
      <c r="C122" s="186"/>
      <c r="D122" s="186"/>
      <c r="E122" s="186"/>
      <c r="F122" s="191" t="s">
        <v>466</v>
      </c>
      <c r="G122" s="192" t="s">
        <v>467</v>
      </c>
      <c r="H122" s="186"/>
      <c r="I122" s="188">
        <v>70390.01</v>
      </c>
    </row>
    <row r="123" spans="2:9" ht="15">
      <c r="B123" s="186" t="s">
        <v>504</v>
      </c>
      <c r="C123" s="186"/>
      <c r="D123" s="186"/>
      <c r="E123" s="186"/>
      <c r="F123" s="186"/>
      <c r="G123" s="186"/>
      <c r="H123" s="186"/>
      <c r="I123" s="188">
        <f>I118+I119-I121</f>
        <v>1233035.8799999994</v>
      </c>
    </row>
    <row r="124" spans="2:9" ht="15">
      <c r="B124" s="186" t="s">
        <v>505</v>
      </c>
      <c r="C124" s="186"/>
      <c r="D124" s="186"/>
      <c r="E124" s="186"/>
      <c r="F124" s="186"/>
      <c r="G124" s="186"/>
      <c r="H124" s="186"/>
      <c r="I124" s="188">
        <v>13500000</v>
      </c>
    </row>
    <row r="125" spans="2:9" ht="15">
      <c r="B125" s="186" t="s">
        <v>468</v>
      </c>
      <c r="C125" s="186"/>
      <c r="D125" s="186"/>
      <c r="E125" s="186"/>
      <c r="F125" s="186"/>
      <c r="G125" s="186"/>
      <c r="H125" s="186"/>
      <c r="I125" s="188"/>
    </row>
    <row r="126" spans="2:9" ht="15">
      <c r="B126" s="186" t="s">
        <v>506</v>
      </c>
      <c r="C126" s="186"/>
      <c r="D126" s="186"/>
      <c r="E126" s="186"/>
      <c r="F126" s="186"/>
      <c r="G126" s="186"/>
      <c r="H126" s="186"/>
      <c r="I126" s="193">
        <f>I120/I124</f>
        <v>0.027655861481481483</v>
      </c>
    </row>
    <row r="127" spans="2:9" ht="15">
      <c r="B127" s="186" t="s">
        <v>469</v>
      </c>
      <c r="C127" s="186"/>
      <c r="D127" s="186"/>
      <c r="E127" s="186"/>
      <c r="F127" s="186"/>
      <c r="G127" s="186"/>
      <c r="H127" s="186"/>
      <c r="I127" s="188"/>
    </row>
    <row r="128" spans="2:9" ht="15">
      <c r="B128" s="186" t="s">
        <v>470</v>
      </c>
      <c r="C128" s="186"/>
      <c r="D128" s="186"/>
      <c r="E128" s="186"/>
      <c r="F128" s="186"/>
      <c r="G128" s="186"/>
      <c r="H128" s="186"/>
      <c r="I128" s="193">
        <f>I123/I124</f>
        <v>0.09133599111111107</v>
      </c>
    </row>
    <row r="129" spans="2:9" ht="15">
      <c r="B129" s="186"/>
      <c r="C129" s="186"/>
      <c r="D129" s="186"/>
      <c r="E129" s="186"/>
      <c r="F129" s="186"/>
      <c r="G129" s="186"/>
      <c r="H129" s="186"/>
      <c r="I129" s="193"/>
    </row>
    <row r="130" spans="2:9" ht="15">
      <c r="B130" s="185" t="s">
        <v>507</v>
      </c>
      <c r="C130" s="186"/>
      <c r="D130" s="186"/>
      <c r="E130" s="186"/>
      <c r="F130" s="186"/>
      <c r="G130" s="186"/>
      <c r="H130" s="186"/>
      <c r="I130" s="186"/>
    </row>
    <row r="131" spans="2:9" ht="15">
      <c r="B131" s="186"/>
      <c r="C131" s="186"/>
      <c r="D131" s="186"/>
      <c r="E131" s="186"/>
      <c r="F131" s="186"/>
      <c r="G131" s="186"/>
      <c r="H131" s="186"/>
      <c r="I131" s="186"/>
    </row>
    <row r="132" spans="2:9" ht="15">
      <c r="B132" s="186" t="s">
        <v>471</v>
      </c>
      <c r="C132" s="186"/>
      <c r="D132" s="186"/>
      <c r="E132" s="186"/>
      <c r="F132" s="186"/>
      <c r="G132" s="186"/>
      <c r="H132" s="187"/>
      <c r="I132" s="188">
        <f>I123</f>
        <v>1233035.8799999994</v>
      </c>
    </row>
    <row r="133" spans="2:9" ht="15">
      <c r="B133" s="186" t="s">
        <v>462</v>
      </c>
      <c r="C133" s="186"/>
      <c r="D133" s="186"/>
      <c r="E133" s="186"/>
      <c r="F133" s="186"/>
      <c r="G133" s="186"/>
      <c r="H133" s="186"/>
      <c r="I133" s="188">
        <v>0</v>
      </c>
    </row>
    <row r="134" spans="2:9" ht="15">
      <c r="B134" s="186" t="s">
        <v>463</v>
      </c>
      <c r="C134" s="186"/>
      <c r="D134" s="186"/>
      <c r="E134" s="186"/>
      <c r="F134" s="186"/>
      <c r="G134" s="186"/>
      <c r="H134" s="186"/>
      <c r="I134" s="190">
        <f>I135+I136</f>
        <v>331379.34</v>
      </c>
    </row>
    <row r="135" spans="2:9" ht="15">
      <c r="B135" s="186"/>
      <c r="C135" s="186"/>
      <c r="D135" s="186"/>
      <c r="E135" s="186"/>
      <c r="F135" s="191" t="s">
        <v>464</v>
      </c>
      <c r="G135" s="192" t="s">
        <v>465</v>
      </c>
      <c r="H135" s="186"/>
      <c r="I135" s="188">
        <v>277323.09</v>
      </c>
    </row>
    <row r="136" spans="2:9" ht="15">
      <c r="B136" s="186"/>
      <c r="C136" s="186"/>
      <c r="D136" s="186"/>
      <c r="E136" s="186"/>
      <c r="F136" s="191" t="s">
        <v>466</v>
      </c>
      <c r="G136" s="192" t="s">
        <v>467</v>
      </c>
      <c r="H136" s="186"/>
      <c r="I136" s="188">
        <v>54056.25</v>
      </c>
    </row>
    <row r="137" spans="2:9" ht="15">
      <c r="B137" s="186" t="s">
        <v>508</v>
      </c>
      <c r="C137" s="186"/>
      <c r="D137" s="186"/>
      <c r="E137" s="186"/>
      <c r="F137" s="186"/>
      <c r="G137" s="186"/>
      <c r="H137" s="186"/>
      <c r="I137" s="188">
        <f>I132+I133-I135</f>
        <v>955712.7899999993</v>
      </c>
    </row>
    <row r="138" spans="2:9" ht="15">
      <c r="B138" s="186" t="s">
        <v>509</v>
      </c>
      <c r="C138" s="186"/>
      <c r="D138" s="186"/>
      <c r="E138" s="186"/>
      <c r="F138" s="186"/>
      <c r="G138" s="186"/>
      <c r="H138" s="186"/>
      <c r="I138" s="188">
        <v>13500000</v>
      </c>
    </row>
    <row r="139" spans="2:9" ht="15">
      <c r="B139" s="186" t="s">
        <v>468</v>
      </c>
      <c r="C139" s="186"/>
      <c r="D139" s="186"/>
      <c r="E139" s="186"/>
      <c r="F139" s="186"/>
      <c r="G139" s="186"/>
      <c r="H139" s="186"/>
      <c r="I139" s="188"/>
    </row>
    <row r="140" spans="2:9" ht="15">
      <c r="B140" s="186" t="s">
        <v>510</v>
      </c>
      <c r="C140" s="186"/>
      <c r="D140" s="186"/>
      <c r="E140" s="186"/>
      <c r="F140" s="186"/>
      <c r="G140" s="186"/>
      <c r="H140" s="186"/>
      <c r="I140" s="193">
        <f>I134/I138</f>
        <v>0.02454661777777778</v>
      </c>
    </row>
    <row r="141" spans="2:9" ht="15">
      <c r="B141" s="186" t="s">
        <v>469</v>
      </c>
      <c r="C141" s="186"/>
      <c r="D141" s="186"/>
      <c r="E141" s="186"/>
      <c r="F141" s="186"/>
      <c r="G141" s="186"/>
      <c r="H141" s="186"/>
      <c r="I141" s="188"/>
    </row>
    <row r="142" spans="2:9" ht="15">
      <c r="B142" s="186" t="s">
        <v>470</v>
      </c>
      <c r="C142" s="186"/>
      <c r="D142" s="186"/>
      <c r="E142" s="186"/>
      <c r="F142" s="186"/>
      <c r="G142" s="186"/>
      <c r="H142" s="186"/>
      <c r="I142" s="193">
        <f>I137/I138</f>
        <v>0.07079353999999995</v>
      </c>
    </row>
    <row r="143" spans="2:9" ht="15">
      <c r="B143" s="186"/>
      <c r="C143" s="186"/>
      <c r="D143" s="186"/>
      <c r="E143" s="186"/>
      <c r="F143" s="186"/>
      <c r="G143" s="186"/>
      <c r="H143" s="186"/>
      <c r="I143" s="193"/>
    </row>
    <row r="144" spans="2:9" ht="15">
      <c r="B144" s="185" t="s">
        <v>111</v>
      </c>
      <c r="C144" s="186"/>
      <c r="D144" s="186"/>
      <c r="E144" s="186"/>
      <c r="F144" s="186"/>
      <c r="G144" s="186"/>
      <c r="H144" s="186"/>
      <c r="I144" s="186"/>
    </row>
    <row r="145" spans="2:9" ht="15">
      <c r="B145" s="186"/>
      <c r="C145" s="186"/>
      <c r="D145" s="186"/>
      <c r="E145" s="186"/>
      <c r="F145" s="186"/>
      <c r="G145" s="186"/>
      <c r="H145" s="186"/>
      <c r="I145" s="186"/>
    </row>
    <row r="146" spans="2:9" ht="15">
      <c r="B146" s="186" t="s">
        <v>471</v>
      </c>
      <c r="C146" s="186"/>
      <c r="D146" s="186"/>
      <c r="E146" s="186"/>
      <c r="F146" s="186"/>
      <c r="G146" s="186"/>
      <c r="H146" s="187"/>
      <c r="I146" s="188">
        <f>I137</f>
        <v>955712.7899999993</v>
      </c>
    </row>
    <row r="147" spans="2:9" ht="15">
      <c r="B147" s="186" t="s">
        <v>462</v>
      </c>
      <c r="C147" s="186"/>
      <c r="D147" s="186"/>
      <c r="E147" s="186"/>
      <c r="F147" s="186"/>
      <c r="G147" s="186"/>
      <c r="H147" s="186"/>
      <c r="I147" s="188">
        <v>0</v>
      </c>
    </row>
    <row r="148" spans="2:9" ht="15">
      <c r="B148" s="186" t="s">
        <v>463</v>
      </c>
      <c r="C148" s="186"/>
      <c r="D148" s="186"/>
      <c r="E148" s="186"/>
      <c r="F148" s="186"/>
      <c r="G148" s="186"/>
      <c r="H148" s="186"/>
      <c r="I148" s="190">
        <f>I149+I150</f>
        <v>242061.49</v>
      </c>
    </row>
    <row r="149" spans="2:9" ht="15">
      <c r="B149" s="186"/>
      <c r="C149" s="186"/>
      <c r="D149" s="186"/>
      <c r="E149" s="186"/>
      <c r="F149" s="191" t="s">
        <v>464</v>
      </c>
      <c r="G149" s="192" t="s">
        <v>465</v>
      </c>
      <c r="H149" s="186"/>
      <c r="I149" s="188">
        <v>200400</v>
      </c>
    </row>
    <row r="150" spans="2:9" ht="15">
      <c r="B150" s="186"/>
      <c r="C150" s="186"/>
      <c r="D150" s="186"/>
      <c r="E150" s="186"/>
      <c r="F150" s="191" t="s">
        <v>466</v>
      </c>
      <c r="G150" s="192" t="s">
        <v>467</v>
      </c>
      <c r="H150" s="186"/>
      <c r="I150" s="188">
        <v>41661.49</v>
      </c>
    </row>
    <row r="151" spans="2:9" ht="15">
      <c r="B151" s="186" t="s">
        <v>508</v>
      </c>
      <c r="C151" s="186"/>
      <c r="D151" s="186"/>
      <c r="E151" s="186"/>
      <c r="F151" s="186"/>
      <c r="G151" s="186"/>
      <c r="H151" s="186"/>
      <c r="I151" s="188">
        <f>I146+I147-I149</f>
        <v>755312.7899999993</v>
      </c>
    </row>
    <row r="152" spans="2:9" ht="15">
      <c r="B152" s="186" t="s">
        <v>509</v>
      </c>
      <c r="C152" s="186"/>
      <c r="D152" s="186"/>
      <c r="E152" s="186"/>
      <c r="F152" s="186"/>
      <c r="G152" s="186"/>
      <c r="H152" s="186"/>
      <c r="I152" s="188">
        <v>13500000</v>
      </c>
    </row>
    <row r="153" spans="2:9" ht="15">
      <c r="B153" s="186" t="s">
        <v>468</v>
      </c>
      <c r="C153" s="186"/>
      <c r="D153" s="186"/>
      <c r="E153" s="186"/>
      <c r="F153" s="186"/>
      <c r="G153" s="186"/>
      <c r="H153" s="186"/>
      <c r="I153" s="188"/>
    </row>
    <row r="154" spans="2:9" ht="15">
      <c r="B154" s="186" t="s">
        <v>510</v>
      </c>
      <c r="C154" s="186"/>
      <c r="D154" s="186"/>
      <c r="E154" s="186"/>
      <c r="F154" s="186"/>
      <c r="G154" s="186"/>
      <c r="H154" s="186"/>
      <c r="I154" s="193">
        <f>I148/I152</f>
        <v>0.01793048074074074</v>
      </c>
    </row>
    <row r="155" spans="2:9" ht="15">
      <c r="B155" s="186" t="s">
        <v>469</v>
      </c>
      <c r="C155" s="186"/>
      <c r="D155" s="186"/>
      <c r="E155" s="186"/>
      <c r="F155" s="186"/>
      <c r="G155" s="186"/>
      <c r="H155" s="186"/>
      <c r="I155" s="188"/>
    </row>
    <row r="156" spans="2:9" ht="15">
      <c r="B156" s="186" t="s">
        <v>470</v>
      </c>
      <c r="C156" s="186"/>
      <c r="D156" s="186"/>
      <c r="E156" s="186"/>
      <c r="F156" s="186"/>
      <c r="G156" s="186"/>
      <c r="H156" s="186"/>
      <c r="I156" s="193">
        <f>I151/I152</f>
        <v>0.05594909555555551</v>
      </c>
    </row>
    <row r="157" spans="2:9" ht="15">
      <c r="B157" s="186"/>
      <c r="C157" s="186"/>
      <c r="D157" s="186"/>
      <c r="E157" s="186"/>
      <c r="F157" s="186"/>
      <c r="G157" s="186"/>
      <c r="H157" s="186"/>
      <c r="I157" s="193"/>
    </row>
    <row r="158" spans="2:9" ht="15">
      <c r="B158" s="186"/>
      <c r="C158" s="186"/>
      <c r="D158" s="186"/>
      <c r="E158" s="186"/>
      <c r="F158" s="186"/>
      <c r="G158" s="186"/>
      <c r="H158" s="186"/>
      <c r="I158" s="186"/>
    </row>
    <row r="159" spans="2:9" ht="15" customHeight="1">
      <c r="B159" s="443" t="s">
        <v>511</v>
      </c>
      <c r="C159" s="443"/>
      <c r="D159" s="443"/>
      <c r="E159" s="443"/>
      <c r="F159" s="443"/>
      <c r="G159" s="443"/>
      <c r="H159" s="443"/>
      <c r="I159" s="443"/>
    </row>
    <row r="160" spans="2:9" ht="15" customHeight="1">
      <c r="B160" s="443" t="s">
        <v>512</v>
      </c>
      <c r="C160" s="443"/>
      <c r="D160" s="443"/>
      <c r="E160" s="443"/>
      <c r="F160" s="443"/>
      <c r="G160" s="443"/>
      <c r="H160" s="443"/>
      <c r="I160" s="443"/>
    </row>
    <row r="161" spans="2:9" ht="15">
      <c r="B161" s="186"/>
      <c r="C161" s="186"/>
      <c r="D161" s="186"/>
      <c r="E161" s="186"/>
      <c r="F161" s="186"/>
      <c r="G161" s="186"/>
      <c r="H161" s="186"/>
      <c r="I161" s="186"/>
    </row>
    <row r="162" spans="2:9" ht="15">
      <c r="B162" s="186"/>
      <c r="C162" s="186"/>
      <c r="D162" s="186"/>
      <c r="E162" s="186"/>
      <c r="F162" s="186"/>
      <c r="G162" s="186"/>
      <c r="H162" s="186"/>
      <c r="I162" s="186"/>
    </row>
  </sheetData>
  <mergeCells count="2">
    <mergeCell ref="B159:I159"/>
    <mergeCell ref="B160:I16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2"/>
  <sheetViews>
    <sheetView zoomScale="150" zoomScaleNormal="150" workbookViewId="0" topLeftCell="A1">
      <selection activeCell="G26" sqref="G26"/>
    </sheetView>
  </sheetViews>
  <sheetFormatPr defaultColWidth="9.140625" defaultRowHeight="12.75"/>
  <cols>
    <col min="1" max="1" width="3.7109375" style="223" customWidth="1"/>
    <col min="2" max="2" width="13.140625" style="223" customWidth="1"/>
    <col min="3" max="3" width="9.140625" style="223" customWidth="1"/>
    <col min="4" max="4" width="11.28125" style="223" customWidth="1"/>
    <col min="5" max="5" width="6.00390625" style="223" customWidth="1"/>
    <col min="6" max="6" width="11.00390625" style="223" customWidth="1"/>
    <col min="7" max="7" width="11.421875" style="223" customWidth="1"/>
    <col min="8" max="8" width="20.140625" style="223" customWidth="1"/>
    <col min="9" max="9" width="10.28125" style="223" customWidth="1"/>
    <col min="10" max="10" width="16.8515625" style="223" customWidth="1"/>
    <col min="11" max="11" width="16.28125" style="223" customWidth="1"/>
    <col min="12" max="16384" width="9.140625" style="223" customWidth="1"/>
  </cols>
  <sheetData>
    <row r="2" spans="8:10" ht="19.5" customHeight="1">
      <c r="H2" s="288" t="s">
        <v>10</v>
      </c>
      <c r="I2" s="288"/>
      <c r="J2" s="224"/>
    </row>
    <row r="3" spans="8:10" ht="17.25" customHeight="1">
      <c r="H3" s="288"/>
      <c r="I3" s="288"/>
      <c r="J3" s="224"/>
    </row>
    <row r="4" ht="12.75">
      <c r="J4" s="224"/>
    </row>
    <row r="5" ht="12.75">
      <c r="J5" s="224"/>
    </row>
    <row r="7" spans="2:11" ht="15.75">
      <c r="B7" s="446" t="s">
        <v>414</v>
      </c>
      <c r="C7" s="446"/>
      <c r="D7" s="446"/>
      <c r="E7" s="446"/>
      <c r="F7" s="446"/>
      <c r="G7" s="446"/>
      <c r="H7" s="446"/>
      <c r="I7" s="446"/>
      <c r="J7" s="225"/>
      <c r="K7" s="226"/>
    </row>
    <row r="8" spans="2:11" ht="15.75">
      <c r="B8" s="446" t="s">
        <v>415</v>
      </c>
      <c r="C8" s="446"/>
      <c r="D8" s="446"/>
      <c r="E8" s="446"/>
      <c r="F8" s="446"/>
      <c r="G8" s="446"/>
      <c r="H8" s="446"/>
      <c r="I8" s="446"/>
      <c r="J8" s="225"/>
      <c r="K8" s="226"/>
    </row>
    <row r="9" spans="2:11" ht="15.75">
      <c r="B9" s="446" t="s">
        <v>416</v>
      </c>
      <c r="C9" s="446"/>
      <c r="D9" s="446"/>
      <c r="E9" s="446"/>
      <c r="F9" s="446"/>
      <c r="G9" s="446"/>
      <c r="H9" s="446"/>
      <c r="I9" s="446"/>
      <c r="J9" s="225"/>
      <c r="K9" s="226"/>
    </row>
    <row r="14" spans="2:10" ht="12.75">
      <c r="B14" s="227" t="s">
        <v>417</v>
      </c>
      <c r="C14" s="227" t="s">
        <v>174</v>
      </c>
      <c r="H14" s="228">
        <f>H15</f>
        <v>18000</v>
      </c>
      <c r="J14" s="228"/>
    </row>
    <row r="15" spans="2:10" ht="12.75">
      <c r="B15" s="227" t="s">
        <v>418</v>
      </c>
      <c r="C15" s="227" t="s">
        <v>175</v>
      </c>
      <c r="H15" s="229">
        <f>H16</f>
        <v>18000</v>
      </c>
      <c r="J15" s="230"/>
    </row>
    <row r="16" spans="2:10" ht="12.75">
      <c r="B16" s="227" t="s">
        <v>112</v>
      </c>
      <c r="C16" s="227" t="s">
        <v>180</v>
      </c>
      <c r="H16" s="230">
        <v>18000</v>
      </c>
      <c r="J16" s="230"/>
    </row>
    <row r="17" ht="12.75">
      <c r="J17" s="231"/>
    </row>
    <row r="18" ht="12.75">
      <c r="J18" s="231"/>
    </row>
    <row r="19" ht="12.75">
      <c r="J19" s="231"/>
    </row>
    <row r="20" spans="2:10" ht="12.75">
      <c r="B20" s="444" t="s">
        <v>419</v>
      </c>
      <c r="C20" s="444"/>
      <c r="D20" s="444"/>
      <c r="E20" s="444"/>
      <c r="F20" s="444"/>
      <c r="G20" s="444"/>
      <c r="H20" s="444"/>
      <c r="I20" s="444"/>
      <c r="J20" s="231"/>
    </row>
    <row r="21" spans="2:10" ht="12.75">
      <c r="B21" s="444" t="s">
        <v>420</v>
      </c>
      <c r="C21" s="444"/>
      <c r="D21" s="444"/>
      <c r="E21" s="444"/>
      <c r="F21" s="444"/>
      <c r="G21" s="444"/>
      <c r="H21" s="444"/>
      <c r="I21" s="444"/>
      <c r="J21" s="231"/>
    </row>
    <row r="22" spans="2:10" ht="1.5" customHeight="1">
      <c r="B22" s="445" t="s">
        <v>113</v>
      </c>
      <c r="C22" s="445"/>
      <c r="D22" s="445"/>
      <c r="E22" s="445"/>
      <c r="F22" s="445"/>
      <c r="G22" s="445"/>
      <c r="H22" s="445"/>
      <c r="I22" s="445"/>
      <c r="J22" s="231"/>
    </row>
    <row r="23" spans="2:10" ht="12.75" customHeight="1">
      <c r="B23" s="445"/>
      <c r="C23" s="445"/>
      <c r="D23" s="445"/>
      <c r="E23" s="445"/>
      <c r="F23" s="445"/>
      <c r="G23" s="445"/>
      <c r="H23" s="445"/>
      <c r="I23" s="445"/>
      <c r="J23" s="231"/>
    </row>
    <row r="24" spans="2:10" ht="12.75" customHeight="1">
      <c r="B24" s="445"/>
      <c r="C24" s="445"/>
      <c r="D24" s="445"/>
      <c r="E24" s="445"/>
      <c r="F24" s="445"/>
      <c r="G24" s="445"/>
      <c r="H24" s="445"/>
      <c r="I24" s="445"/>
      <c r="J24" s="231"/>
    </row>
    <row r="25" spans="2:10" ht="12.75" customHeight="1">
      <c r="B25" s="445"/>
      <c r="C25" s="445"/>
      <c r="D25" s="445"/>
      <c r="E25" s="445"/>
      <c r="F25" s="445"/>
      <c r="G25" s="445"/>
      <c r="H25" s="445"/>
      <c r="I25" s="445"/>
      <c r="J25" s="231"/>
    </row>
    <row r="26" spans="2:10" ht="12.75" customHeight="1">
      <c r="B26" s="232"/>
      <c r="C26" s="232"/>
      <c r="D26" s="232"/>
      <c r="E26" s="232"/>
      <c r="F26" s="232"/>
      <c r="G26" s="232"/>
      <c r="H26" s="232"/>
      <c r="I26" s="232"/>
      <c r="J26" s="231"/>
    </row>
    <row r="27" spans="2:10" ht="12.75" customHeight="1">
      <c r="B27" s="232"/>
      <c r="C27" s="232"/>
      <c r="D27" s="232"/>
      <c r="E27" s="232"/>
      <c r="F27" s="232"/>
      <c r="G27" s="232"/>
      <c r="H27" s="232"/>
      <c r="I27" s="232"/>
      <c r="J27" s="231"/>
    </row>
    <row r="28" spans="2:10" ht="12.75" customHeight="1">
      <c r="B28" s="232"/>
      <c r="C28" s="232"/>
      <c r="D28" s="232"/>
      <c r="E28" s="232"/>
      <c r="F28" s="232"/>
      <c r="G28" s="232"/>
      <c r="H28" s="232"/>
      <c r="I28" s="232"/>
      <c r="J28" s="231"/>
    </row>
    <row r="29" spans="2:9" ht="12.75" customHeight="1">
      <c r="B29" s="232"/>
      <c r="C29" s="232"/>
      <c r="D29" s="232"/>
      <c r="E29" s="232"/>
      <c r="F29" s="232"/>
      <c r="G29" s="232"/>
      <c r="H29" s="232"/>
      <c r="I29" s="232"/>
    </row>
    <row r="30" spans="2:9" ht="12.75" customHeight="1">
      <c r="B30" s="232"/>
      <c r="C30" s="232"/>
      <c r="D30" s="232"/>
      <c r="E30" s="232"/>
      <c r="F30" s="232"/>
      <c r="G30" s="232"/>
      <c r="H30" s="232"/>
      <c r="I30" s="232"/>
    </row>
    <row r="31" spans="2:9" ht="12.75" customHeight="1">
      <c r="B31" s="232"/>
      <c r="C31" s="232"/>
      <c r="D31" s="232"/>
      <c r="E31" s="232"/>
      <c r="F31" s="232"/>
      <c r="G31" s="232"/>
      <c r="H31" s="232"/>
      <c r="I31" s="232"/>
    </row>
    <row r="32" spans="2:9" ht="12.75" customHeight="1">
      <c r="B32" s="232"/>
      <c r="C32" s="232"/>
      <c r="D32" s="232"/>
      <c r="E32" s="232"/>
      <c r="F32" s="232"/>
      <c r="G32" s="232"/>
      <c r="H32" s="232"/>
      <c r="I32" s="232"/>
    </row>
  </sheetData>
  <mergeCells count="7">
    <mergeCell ref="H2:I3"/>
    <mergeCell ref="B21:I21"/>
    <mergeCell ref="B22:I25"/>
    <mergeCell ref="B7:I7"/>
    <mergeCell ref="B8:I8"/>
    <mergeCell ref="B9:I9"/>
    <mergeCell ref="B20:I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zoomScale="150" zoomScaleNormal="150" workbookViewId="0" topLeftCell="A7">
      <selection activeCell="D16" sqref="D16"/>
    </sheetView>
  </sheetViews>
  <sheetFormatPr defaultColWidth="9.140625" defaultRowHeight="12.75"/>
  <cols>
    <col min="1" max="1" width="6.8515625" style="151" customWidth="1"/>
    <col min="2" max="2" width="23.7109375" style="151" customWidth="1"/>
    <col min="3" max="3" width="22.57421875" style="151" customWidth="1"/>
    <col min="4" max="4" width="48.421875" style="151" customWidth="1"/>
    <col min="5" max="5" width="17.00390625" style="151" hidden="1" customWidth="1"/>
    <col min="6" max="6" width="5.8515625" style="151" hidden="1" customWidth="1"/>
    <col min="7" max="8" width="11.28125" style="151" customWidth="1"/>
    <col min="9" max="16384" width="9.140625" style="151" customWidth="1"/>
  </cols>
  <sheetData>
    <row r="1" spans="3:9" ht="12" customHeight="1">
      <c r="C1" s="19"/>
      <c r="D1" s="288" t="s">
        <v>11</v>
      </c>
      <c r="E1" s="288"/>
      <c r="G1" s="288"/>
      <c r="H1" s="288"/>
      <c r="I1" s="288"/>
    </row>
    <row r="2" spans="3:9" ht="12" customHeight="1">
      <c r="C2" s="19"/>
      <c r="D2" s="288"/>
      <c r="E2" s="288"/>
      <c r="G2" s="5"/>
      <c r="H2" s="5"/>
      <c r="I2" s="5"/>
    </row>
    <row r="3" spans="5:6" ht="17.25" customHeight="1">
      <c r="E3" s="453"/>
      <c r="F3" s="453"/>
    </row>
    <row r="4" spans="1:6" ht="18.75" customHeight="1">
      <c r="A4" s="454" t="s">
        <v>114</v>
      </c>
      <c r="B4" s="454"/>
      <c r="C4" s="454"/>
      <c r="D4" s="454"/>
      <c r="E4" s="328"/>
      <c r="F4" s="328"/>
    </row>
    <row r="5" spans="1:6" ht="18.75" customHeight="1">
      <c r="A5" s="454" t="s">
        <v>115</v>
      </c>
      <c r="B5" s="454"/>
      <c r="C5" s="454"/>
      <c r="D5" s="454"/>
      <c r="E5" s="328"/>
      <c r="F5" s="328"/>
    </row>
    <row r="6" spans="1:6" ht="18.75" customHeight="1">
      <c r="A6" s="454" t="s">
        <v>116</v>
      </c>
      <c r="B6" s="454"/>
      <c r="C6" s="454"/>
      <c r="D6" s="454"/>
      <c r="E6" s="328"/>
      <c r="F6" s="328"/>
    </row>
    <row r="7" spans="1:6" ht="18.75" customHeight="1" thickBot="1">
      <c r="A7" s="234"/>
      <c r="B7" s="234"/>
      <c r="C7" s="234"/>
      <c r="D7" s="234"/>
      <c r="E7" s="234"/>
      <c r="F7" s="234"/>
    </row>
    <row r="8" spans="1:6" s="3" customFormat="1" ht="13.5" customHeight="1">
      <c r="A8" s="359" t="s">
        <v>134</v>
      </c>
      <c r="B8" s="359" t="s">
        <v>135</v>
      </c>
      <c r="C8" s="359" t="s">
        <v>117</v>
      </c>
      <c r="D8" s="359"/>
      <c r="E8" s="359" t="s">
        <v>6</v>
      </c>
      <c r="F8" s="359" t="s">
        <v>554</v>
      </c>
    </row>
    <row r="9" spans="1:8" s="10" customFormat="1" ht="48" customHeight="1" thickBot="1">
      <c r="A9" s="360"/>
      <c r="B9" s="360"/>
      <c r="C9" s="360"/>
      <c r="D9" s="360"/>
      <c r="E9" s="360"/>
      <c r="F9" s="360"/>
      <c r="G9" s="64"/>
      <c r="H9" s="64"/>
    </row>
    <row r="10" spans="1:6" s="161" customFormat="1" ht="12.75">
      <c r="A10" s="160"/>
      <c r="B10" s="160"/>
      <c r="C10" s="160"/>
      <c r="D10" s="160"/>
      <c r="E10" s="329"/>
      <c r="F10" s="329"/>
    </row>
    <row r="11" spans="1:6" s="165" customFormat="1" ht="12.75">
      <c r="A11" s="162"/>
      <c r="B11" s="163" t="s">
        <v>421</v>
      </c>
      <c r="C11" s="164">
        <f>C12+C13</f>
        <v>37900</v>
      </c>
      <c r="D11" s="164"/>
      <c r="E11" s="164" t="e">
        <f>E12+E13+#REF!</f>
        <v>#REF!</v>
      </c>
      <c r="F11" s="18"/>
    </row>
    <row r="12" spans="1:6" s="170" customFormat="1" ht="25.5">
      <c r="A12" s="166"/>
      <c r="B12" s="167" t="s">
        <v>118</v>
      </c>
      <c r="C12" s="168">
        <v>12900</v>
      </c>
      <c r="D12" s="169"/>
      <c r="E12" s="168">
        <v>45929.41</v>
      </c>
      <c r="F12" s="26"/>
    </row>
    <row r="13" spans="1:6" s="19" customFormat="1" ht="90" customHeight="1" thickBot="1">
      <c r="A13" s="28" t="s">
        <v>179</v>
      </c>
      <c r="B13" s="29" t="s">
        <v>242</v>
      </c>
      <c r="C13" s="31">
        <v>25000</v>
      </c>
      <c r="D13" s="31" t="s">
        <v>119</v>
      </c>
      <c r="E13" s="31">
        <v>5442.26</v>
      </c>
      <c r="F13" s="32">
        <f>E13*100/C13</f>
        <v>21.76904</v>
      </c>
    </row>
    <row r="14" spans="1:6" s="161" customFormat="1" ht="12.75">
      <c r="A14" s="160"/>
      <c r="B14" s="160"/>
      <c r="C14" s="160"/>
      <c r="D14" s="160"/>
      <c r="E14" s="329"/>
      <c r="F14" s="329"/>
    </row>
    <row r="15" spans="1:6" s="165" customFormat="1" ht="12.75">
      <c r="A15" s="162"/>
      <c r="B15" s="163" t="s">
        <v>407</v>
      </c>
      <c r="C15" s="164">
        <f>SUM(C16:C18)</f>
        <v>37900</v>
      </c>
      <c r="D15" s="164"/>
      <c r="E15" s="164">
        <f>E16+E18</f>
        <v>47922.83</v>
      </c>
      <c r="F15" s="18"/>
    </row>
    <row r="16" spans="1:6" s="43" customFormat="1" ht="12.75">
      <c r="A16" s="27">
        <v>4170</v>
      </c>
      <c r="B16" s="29" t="s">
        <v>372</v>
      </c>
      <c r="C16" s="45">
        <v>11000</v>
      </c>
      <c r="D16" s="316" t="s">
        <v>12</v>
      </c>
      <c r="E16" s="31">
        <v>15189</v>
      </c>
      <c r="F16" s="32">
        <f>E16*100/C16</f>
        <v>138.0818181818182</v>
      </c>
    </row>
    <row r="17" spans="1:6" s="43" customFormat="1" ht="51" customHeight="1">
      <c r="A17" s="28">
        <v>4210</v>
      </c>
      <c r="B17" s="29" t="s">
        <v>264</v>
      </c>
      <c r="C17" s="45">
        <v>4600</v>
      </c>
      <c r="D17" s="451" t="s">
        <v>120</v>
      </c>
      <c r="E17" s="31"/>
      <c r="F17" s="32"/>
    </row>
    <row r="18" spans="1:6" s="43" customFormat="1" ht="21.75" customHeight="1" thickBot="1">
      <c r="A18" s="28">
        <v>4300</v>
      </c>
      <c r="B18" s="29" t="s">
        <v>268</v>
      </c>
      <c r="C18" s="45">
        <v>22300</v>
      </c>
      <c r="D18" s="452"/>
      <c r="E18" s="31">
        <v>32733.83</v>
      </c>
      <c r="F18" s="32">
        <f>E18*100/C18</f>
        <v>146.78847533632288</v>
      </c>
    </row>
    <row r="19" spans="1:6" s="161" customFormat="1" ht="12.75">
      <c r="A19" s="160"/>
      <c r="B19" s="160"/>
      <c r="C19" s="160"/>
      <c r="D19" s="160"/>
      <c r="E19" s="329"/>
      <c r="F19" s="329"/>
    </row>
    <row r="23" spans="1:6" ht="15.75">
      <c r="A23" s="449" t="s">
        <v>421</v>
      </c>
      <c r="B23" s="449"/>
      <c r="E23" s="450">
        <f>SUM(E25:E27)</f>
        <v>5453.400000000001</v>
      </c>
      <c r="F23" s="450"/>
    </row>
    <row r="24" spans="1:5" ht="15.75">
      <c r="A24" s="330"/>
      <c r="E24" s="331"/>
    </row>
    <row r="25" spans="1:6" ht="15.75">
      <c r="A25" s="447" t="s">
        <v>13</v>
      </c>
      <c r="B25" s="447"/>
      <c r="E25" s="448">
        <v>5442.26</v>
      </c>
      <c r="F25" s="448"/>
    </row>
    <row r="26" spans="1:5" ht="15.75">
      <c r="A26" s="447" t="s">
        <v>14</v>
      </c>
      <c r="B26" s="447"/>
      <c r="E26" s="331"/>
    </row>
    <row r="27" spans="1:6" ht="15.75">
      <c r="A27" s="447" t="s">
        <v>15</v>
      </c>
      <c r="B27" s="447"/>
      <c r="E27" s="448">
        <v>11.14</v>
      </c>
      <c r="F27" s="448"/>
    </row>
    <row r="28" spans="1:5" ht="15.75">
      <c r="A28" s="330"/>
      <c r="E28" s="331"/>
    </row>
    <row r="29" spans="1:6" ht="15.75">
      <c r="A29" s="449" t="s">
        <v>407</v>
      </c>
      <c r="B29" s="449"/>
      <c r="E29" s="450">
        <f>SUM(E32:E37)</f>
        <v>47922.829999999994</v>
      </c>
      <c r="F29" s="450"/>
    </row>
    <row r="30" spans="1:5" ht="15.75">
      <c r="A30" s="330"/>
      <c r="E30" s="331"/>
    </row>
    <row r="31" spans="1:5" ht="15.75">
      <c r="A31" s="447" t="s">
        <v>16</v>
      </c>
      <c r="B31" s="447"/>
      <c r="E31" s="331"/>
    </row>
    <row r="32" spans="1:6" ht="15.75">
      <c r="A32" s="447" t="s">
        <v>17</v>
      </c>
      <c r="B32" s="447"/>
      <c r="E32" s="448">
        <v>1500</v>
      </c>
      <c r="F32" s="448"/>
    </row>
    <row r="33" spans="1:6" ht="15.75">
      <c r="A33" s="447" t="s">
        <v>18</v>
      </c>
      <c r="B33" s="447"/>
      <c r="E33" s="448">
        <f>24400+23.51</f>
        <v>24423.51</v>
      </c>
      <c r="F33" s="448"/>
    </row>
    <row r="34" spans="1:6" ht="15.75">
      <c r="A34" s="447" t="s">
        <v>19</v>
      </c>
      <c r="B34" s="447"/>
      <c r="E34" s="448">
        <v>5051.12</v>
      </c>
      <c r="F34" s="448"/>
    </row>
    <row r="35" spans="1:6" ht="15.75">
      <c r="A35" s="447" t="s">
        <v>20</v>
      </c>
      <c r="B35" s="447"/>
      <c r="E35" s="448">
        <v>15189</v>
      </c>
      <c r="F35" s="448"/>
    </row>
    <row r="36" spans="1:6" ht="15.75">
      <c r="A36" s="447" t="s">
        <v>21</v>
      </c>
      <c r="B36" s="447"/>
      <c r="E36" s="448">
        <f>713.7+970</f>
        <v>1683.7</v>
      </c>
      <c r="F36" s="448"/>
    </row>
    <row r="37" spans="1:6" ht="15.75">
      <c r="A37" s="447" t="s">
        <v>22</v>
      </c>
      <c r="B37" s="447"/>
      <c r="E37" s="448">
        <v>75.5</v>
      </c>
      <c r="F37" s="448"/>
    </row>
  </sheetData>
  <mergeCells count="35">
    <mergeCell ref="A5:D5"/>
    <mergeCell ref="D1:E2"/>
    <mergeCell ref="G1:I1"/>
    <mergeCell ref="E3:F3"/>
    <mergeCell ref="A6:D6"/>
    <mergeCell ref="A8:A9"/>
    <mergeCell ref="B8:B9"/>
    <mergeCell ref="C8:C9"/>
    <mergeCell ref="D8:D9"/>
    <mergeCell ref="E8:E9"/>
    <mergeCell ref="F8:F9"/>
    <mergeCell ref="A4:D4"/>
    <mergeCell ref="D17:D18"/>
    <mergeCell ref="A23:B23"/>
    <mergeCell ref="E23:F23"/>
    <mergeCell ref="A25:B25"/>
    <mergeCell ref="E25:F25"/>
    <mergeCell ref="A26:B26"/>
    <mergeCell ref="A27:B27"/>
    <mergeCell ref="E27:F27"/>
    <mergeCell ref="A29:B29"/>
    <mergeCell ref="E29:F29"/>
    <mergeCell ref="A31:B31"/>
    <mergeCell ref="A32:B32"/>
    <mergeCell ref="E32:F32"/>
    <mergeCell ref="A33:B33"/>
    <mergeCell ref="E33:F33"/>
    <mergeCell ref="A34:B34"/>
    <mergeCell ref="E34:F34"/>
    <mergeCell ref="A35:B35"/>
    <mergeCell ref="E35:F35"/>
    <mergeCell ref="A36:B36"/>
    <mergeCell ref="E36:F36"/>
    <mergeCell ref="A37:B37"/>
    <mergeCell ref="E37:F3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F27"/>
  <sheetViews>
    <sheetView zoomScale="150" zoomScaleNormal="150" workbookViewId="0" topLeftCell="A4">
      <selection activeCell="C25" sqref="C25:D25"/>
    </sheetView>
  </sheetViews>
  <sheetFormatPr defaultColWidth="9.140625" defaultRowHeight="12.75"/>
  <cols>
    <col min="1" max="1" width="4.421875" style="151" customWidth="1"/>
    <col min="2" max="2" width="6.7109375" style="151" customWidth="1"/>
    <col min="3" max="3" width="26.8515625" style="151" customWidth="1"/>
    <col min="4" max="4" width="25.7109375" style="151" customWidth="1"/>
    <col min="5" max="5" width="26.28125" style="151" customWidth="1"/>
    <col min="6" max="9" width="9.140625" style="151" customWidth="1"/>
    <col min="10" max="10" width="7.8515625" style="151" customWidth="1"/>
    <col min="11" max="11" width="19.28125" style="151" customWidth="1"/>
    <col min="12" max="12" width="14.57421875" style="151" customWidth="1"/>
    <col min="13" max="13" width="14.140625" style="151" customWidth="1"/>
    <col min="14" max="14" width="14.421875" style="151" customWidth="1"/>
    <col min="15" max="15" width="14.57421875" style="151" customWidth="1"/>
    <col min="16" max="16" width="13.140625" style="151" customWidth="1"/>
    <col min="17" max="17" width="17.28125" style="151" customWidth="1"/>
    <col min="18" max="16384" width="9.140625" style="151" customWidth="1"/>
  </cols>
  <sheetData>
    <row r="2" spans="5:6" ht="24.75" customHeight="1">
      <c r="E2" s="288" t="s">
        <v>23</v>
      </c>
      <c r="F2" s="49"/>
    </row>
    <row r="3" spans="5:6" ht="31.5" customHeight="1">
      <c r="E3" s="288"/>
      <c r="F3" s="49"/>
    </row>
    <row r="5" spans="2:5" ht="15.75" customHeight="1">
      <c r="B5" s="455" t="s">
        <v>121</v>
      </c>
      <c r="C5" s="455"/>
      <c r="D5" s="455"/>
      <c r="E5" s="455"/>
    </row>
    <row r="6" spans="2:5" ht="12.75">
      <c r="B6" s="455"/>
      <c r="C6" s="455"/>
      <c r="D6" s="455"/>
      <c r="E6" s="455"/>
    </row>
    <row r="8" spans="2:5" ht="12.75" customHeight="1">
      <c r="B8" s="456" t="s">
        <v>422</v>
      </c>
      <c r="C8" s="456" t="s">
        <v>423</v>
      </c>
      <c r="D8" s="459" t="s">
        <v>424</v>
      </c>
      <c r="E8" s="459" t="s">
        <v>425</v>
      </c>
    </row>
    <row r="9" spans="2:5" s="19" customFormat="1" ht="12.75">
      <c r="B9" s="457"/>
      <c r="C9" s="457"/>
      <c r="D9" s="460"/>
      <c r="E9" s="460"/>
    </row>
    <row r="10" spans="2:5" ht="12.75" customHeight="1">
      <c r="B10" s="458"/>
      <c r="C10" s="458"/>
      <c r="D10" s="461"/>
      <c r="E10" s="461"/>
    </row>
    <row r="11" spans="2:5" ht="12.75">
      <c r="B11" s="156"/>
      <c r="C11" s="156"/>
      <c r="D11" s="156"/>
      <c r="E11" s="156"/>
    </row>
    <row r="12" spans="2:5" s="3" customFormat="1" ht="25.5">
      <c r="B12" s="20">
        <v>400</v>
      </c>
      <c r="C12" s="22" t="s">
        <v>156</v>
      </c>
      <c r="D12" s="171">
        <v>592435</v>
      </c>
      <c r="E12" s="235">
        <v>592435</v>
      </c>
    </row>
    <row r="13" spans="2:5" s="3" customFormat="1" ht="12.75">
      <c r="B13" s="20"/>
      <c r="C13" s="173" t="s">
        <v>426</v>
      </c>
      <c r="D13" s="172">
        <v>51050</v>
      </c>
      <c r="E13" s="172"/>
    </row>
    <row r="14" spans="2:5" s="3" customFormat="1" ht="12.75">
      <c r="B14" s="20">
        <v>600</v>
      </c>
      <c r="C14" s="174" t="s">
        <v>159</v>
      </c>
      <c r="D14" s="171">
        <v>144804</v>
      </c>
      <c r="E14" s="171">
        <v>144804</v>
      </c>
    </row>
    <row r="15" spans="2:5" s="3" customFormat="1" ht="12.75">
      <c r="B15" s="20"/>
      <c r="C15" s="173" t="s">
        <v>426</v>
      </c>
      <c r="D15" s="172">
        <f>163265-18461</f>
        <v>144804</v>
      </c>
      <c r="E15" s="172"/>
    </row>
    <row r="16" spans="2:5" s="3" customFormat="1" ht="12.75">
      <c r="B16" s="20">
        <v>700</v>
      </c>
      <c r="C16" s="22" t="s">
        <v>163</v>
      </c>
      <c r="D16" s="171">
        <v>282020</v>
      </c>
      <c r="E16" s="172">
        <v>282020</v>
      </c>
    </row>
    <row r="17" spans="2:5" s="3" customFormat="1" ht="12.75">
      <c r="B17" s="20"/>
      <c r="C17" s="173" t="s">
        <v>426</v>
      </c>
      <c r="D17" s="172">
        <v>0</v>
      </c>
      <c r="E17" s="172"/>
    </row>
    <row r="18" spans="2:5" s="3" customFormat="1" ht="25.5">
      <c r="B18" s="20">
        <v>900</v>
      </c>
      <c r="C18" s="22" t="s">
        <v>427</v>
      </c>
      <c r="D18" s="171">
        <v>1088139</v>
      </c>
      <c r="E18" s="171">
        <v>1088139</v>
      </c>
    </row>
    <row r="19" spans="2:5" s="3" customFormat="1" ht="12.75">
      <c r="B19" s="20"/>
      <c r="C19" s="173" t="s">
        <v>426</v>
      </c>
      <c r="D19" s="172">
        <v>122217</v>
      </c>
      <c r="E19" s="175"/>
    </row>
    <row r="20" spans="2:5" s="176" customFormat="1" ht="15.75">
      <c r="B20" s="177"/>
      <c r="C20" s="178"/>
      <c r="D20" s="179">
        <f>D12+D16+D18+D14</f>
        <v>2107398</v>
      </c>
      <c r="E20" s="179">
        <f>E12+E16+E18+E14</f>
        <v>2107398</v>
      </c>
    </row>
    <row r="21" spans="4:5" ht="12.75">
      <c r="D21" s="159"/>
      <c r="E21" s="159"/>
    </row>
    <row r="22" spans="4:5" ht="12.75">
      <c r="D22" s="159"/>
      <c r="E22" s="159"/>
    </row>
    <row r="23" spans="4:5" ht="12.75">
      <c r="D23" s="159"/>
      <c r="E23" s="159"/>
    </row>
    <row r="25" ht="12.75">
      <c r="D25" s="180"/>
    </row>
    <row r="26" ht="12.75">
      <c r="D26" s="159"/>
    </row>
    <row r="27" ht="12.75">
      <c r="D27" s="159"/>
    </row>
  </sheetData>
  <mergeCells count="6">
    <mergeCell ref="E2:E3"/>
    <mergeCell ref="B5:E6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M59"/>
  <sheetViews>
    <sheetView zoomScale="150" zoomScaleNormal="150" workbookViewId="0" topLeftCell="A20">
      <selection activeCell="L45" sqref="L45"/>
    </sheetView>
  </sheetViews>
  <sheetFormatPr defaultColWidth="9.140625" defaultRowHeight="12.75"/>
  <cols>
    <col min="1" max="1" width="2.28125" style="3" customWidth="1"/>
    <col min="2" max="2" width="4.28125" style="3" customWidth="1"/>
    <col min="3" max="3" width="5.7109375" style="3" customWidth="1"/>
    <col min="4" max="4" width="4.8515625" style="3" customWidth="1"/>
    <col min="5" max="5" width="28.28125" style="3" customWidth="1"/>
    <col min="6" max="6" width="14.00390625" style="3" hidden="1" customWidth="1"/>
    <col min="7" max="7" width="14.00390625" style="332" hidden="1" customWidth="1"/>
    <col min="8" max="8" width="17.8515625" style="3" hidden="1" customWidth="1"/>
    <col min="9" max="9" width="14.421875" style="3" hidden="1" customWidth="1"/>
    <col min="10" max="10" width="21.28125" style="3" hidden="1" customWidth="1"/>
    <col min="11" max="11" width="16.28125" style="3" hidden="1" customWidth="1"/>
    <col min="12" max="12" width="14.421875" style="3" customWidth="1"/>
    <col min="13" max="13" width="44.140625" style="120" customWidth="1"/>
    <col min="14" max="15" width="11.57421875" style="3" customWidth="1"/>
    <col min="16" max="16384" width="9.140625" style="3" customWidth="1"/>
  </cols>
  <sheetData>
    <row r="2" ht="12.75">
      <c r="M2" s="288" t="s">
        <v>24</v>
      </c>
    </row>
    <row r="3" spans="2:13" ht="13.5" thickBot="1">
      <c r="B3" s="1" t="s">
        <v>122</v>
      </c>
      <c r="C3" s="70"/>
      <c r="D3" s="2"/>
      <c r="H3" s="4"/>
      <c r="I3" s="4"/>
      <c r="J3" s="4"/>
      <c r="K3" s="4"/>
      <c r="L3" s="4"/>
      <c r="M3" s="288"/>
    </row>
    <row r="4" spans="2:13" s="19" customFormat="1" ht="15.75" customHeight="1">
      <c r="B4" s="302" t="s">
        <v>132</v>
      </c>
      <c r="C4" s="359" t="s">
        <v>259</v>
      </c>
      <c r="D4" s="359" t="s">
        <v>134</v>
      </c>
      <c r="E4" s="359" t="s">
        <v>135</v>
      </c>
      <c r="F4" s="359" t="s">
        <v>563</v>
      </c>
      <c r="G4" s="462" t="s">
        <v>25</v>
      </c>
      <c r="H4" s="306" t="s">
        <v>26</v>
      </c>
      <c r="I4" s="306" t="s">
        <v>27</v>
      </c>
      <c r="J4" s="306" t="s">
        <v>28</v>
      </c>
      <c r="K4" s="306" t="s">
        <v>28</v>
      </c>
      <c r="L4" s="306" t="s">
        <v>537</v>
      </c>
      <c r="M4" s="300"/>
    </row>
    <row r="5" spans="2:13" s="72" customFormat="1" ht="79.5" customHeight="1" thickBot="1">
      <c r="B5" s="303"/>
      <c r="C5" s="360"/>
      <c r="D5" s="360"/>
      <c r="E5" s="360"/>
      <c r="F5" s="360"/>
      <c r="G5" s="463"/>
      <c r="H5" s="307"/>
      <c r="I5" s="307"/>
      <c r="J5" s="307"/>
      <c r="K5" s="307"/>
      <c r="L5" s="307"/>
      <c r="M5" s="301"/>
    </row>
    <row r="6" spans="2:13" ht="13.5" hidden="1" thickBot="1">
      <c r="B6" s="73"/>
      <c r="C6" s="74"/>
      <c r="D6" s="74"/>
      <c r="E6" s="74"/>
      <c r="F6" s="74"/>
      <c r="G6" s="333"/>
      <c r="H6" s="74" t="s">
        <v>29</v>
      </c>
      <c r="I6" s="74" t="s">
        <v>30</v>
      </c>
      <c r="J6" s="74" t="s">
        <v>31</v>
      </c>
      <c r="K6" s="74"/>
      <c r="L6" s="74" t="s">
        <v>515</v>
      </c>
      <c r="M6" s="236"/>
    </row>
    <row r="7" spans="2:13" ht="12.75">
      <c r="B7" s="73"/>
      <c r="C7" s="74"/>
      <c r="D7" s="74"/>
      <c r="E7" s="74"/>
      <c r="F7" s="74"/>
      <c r="G7" s="333"/>
      <c r="H7" s="74"/>
      <c r="I7" s="74" t="s">
        <v>30</v>
      </c>
      <c r="J7" s="74" t="s">
        <v>31</v>
      </c>
      <c r="K7" s="74"/>
      <c r="L7" s="74"/>
      <c r="M7" s="236"/>
    </row>
    <row r="8" spans="2:13" ht="12.75">
      <c r="B8" s="76" t="s">
        <v>260</v>
      </c>
      <c r="C8" s="77"/>
      <c r="D8" s="77"/>
      <c r="E8" s="78" t="s">
        <v>261</v>
      </c>
      <c r="F8" s="79" t="e">
        <f>#REF!+F9+#REF!+#REF!+#REF!</f>
        <v>#REF!</v>
      </c>
      <c r="G8" s="334" t="e">
        <f>#REF!+G9+#REF!+#REF!+#REF!</f>
        <v>#REF!</v>
      </c>
      <c r="H8" s="79" t="e">
        <f>#REF!+H9+#REF!+#REF!+#REF!</f>
        <v>#REF!</v>
      </c>
      <c r="I8" s="79" t="e">
        <f>#REF!+I9+#REF!+#REF!+#REF!</f>
        <v>#REF!</v>
      </c>
      <c r="J8" s="79" t="e">
        <f>#REF!+J9+#REF!+#REF!+#REF!</f>
        <v>#REF!</v>
      </c>
      <c r="K8" s="79" t="e">
        <f>#REF!+K9+#REF!+#REF!+#REF!</f>
        <v>#REF!</v>
      </c>
      <c r="L8" s="79">
        <f>L9</f>
        <v>233038</v>
      </c>
      <c r="M8" s="80"/>
    </row>
    <row r="9" spans="2:13" s="19" customFormat="1" ht="25.5">
      <c r="B9" s="81"/>
      <c r="C9" s="21" t="s">
        <v>269</v>
      </c>
      <c r="D9" s="20"/>
      <c r="E9" s="22" t="s">
        <v>270</v>
      </c>
      <c r="F9" s="23">
        <f aca="true" t="shared" si="0" ref="F9:L9">SUM(F10:F10)</f>
        <v>783329</v>
      </c>
      <c r="G9" s="25">
        <f t="shared" si="0"/>
        <v>64051.36</v>
      </c>
      <c r="H9" s="23">
        <f t="shared" si="0"/>
        <v>320069</v>
      </c>
      <c r="I9" s="23">
        <f t="shared" si="0"/>
        <v>0</v>
      </c>
      <c r="J9" s="23">
        <f t="shared" si="0"/>
        <v>0</v>
      </c>
      <c r="K9" s="23">
        <f t="shared" si="0"/>
        <v>0</v>
      </c>
      <c r="L9" s="23">
        <f t="shared" si="0"/>
        <v>233038</v>
      </c>
      <c r="M9" s="84"/>
    </row>
    <row r="10" spans="2:13" s="19" customFormat="1" ht="51">
      <c r="B10" s="85"/>
      <c r="C10" s="28"/>
      <c r="D10" s="27">
        <v>6050</v>
      </c>
      <c r="E10" s="29" t="s">
        <v>271</v>
      </c>
      <c r="F10" s="86">
        <v>783329</v>
      </c>
      <c r="G10" s="335">
        <v>64051.36</v>
      </c>
      <c r="H10" s="86">
        <f>15250+42031+136488+31300+15000+25000+55000</f>
        <v>320069</v>
      </c>
      <c r="I10" s="86"/>
      <c r="J10" s="86"/>
      <c r="K10" s="86"/>
      <c r="L10" s="86">
        <f>15250+136488+31300+15000+25000+10000</f>
        <v>233038</v>
      </c>
      <c r="M10" s="84" t="s">
        <v>538</v>
      </c>
    </row>
    <row r="11" spans="2:13" s="19" customFormat="1" ht="12.75">
      <c r="B11" s="90">
        <v>600</v>
      </c>
      <c r="C11" s="91"/>
      <c r="D11" s="91"/>
      <c r="E11" s="92" t="s">
        <v>159</v>
      </c>
      <c r="F11" s="88">
        <f>F14+F12</f>
        <v>285230</v>
      </c>
      <c r="G11" s="336">
        <f>G14+G12</f>
        <v>37.97</v>
      </c>
      <c r="H11" s="88">
        <f>H14+H12</f>
        <v>545000</v>
      </c>
      <c r="I11" s="88">
        <f>I14</f>
        <v>0</v>
      </c>
      <c r="J11" s="88">
        <f>J14</f>
        <v>0</v>
      </c>
      <c r="K11" s="88">
        <f>K14</f>
        <v>0</v>
      </c>
      <c r="L11" s="88">
        <f>L14+L12</f>
        <v>20000</v>
      </c>
      <c r="M11" s="89"/>
    </row>
    <row r="12" spans="2:13" s="43" customFormat="1" ht="12.75" hidden="1">
      <c r="B12" s="96"/>
      <c r="C12" s="36">
        <v>60014</v>
      </c>
      <c r="D12" s="36"/>
      <c r="E12" s="37" t="s">
        <v>540</v>
      </c>
      <c r="F12" s="40">
        <f>F13</f>
        <v>90230</v>
      </c>
      <c r="G12" s="315">
        <f>G13</f>
        <v>0</v>
      </c>
      <c r="H12" s="40">
        <f>H13</f>
        <v>100000</v>
      </c>
      <c r="I12" s="40"/>
      <c r="J12" s="40"/>
      <c r="K12" s="40"/>
      <c r="L12" s="40">
        <f>L13</f>
        <v>0</v>
      </c>
      <c r="M12" s="182"/>
    </row>
    <row r="13" spans="2:13" s="43" customFormat="1" ht="63.75" hidden="1">
      <c r="B13" s="96"/>
      <c r="C13" s="38"/>
      <c r="D13" s="38">
        <v>2710</v>
      </c>
      <c r="E13" s="39" t="s">
        <v>362</v>
      </c>
      <c r="F13" s="45">
        <v>90230</v>
      </c>
      <c r="G13" s="46">
        <v>0</v>
      </c>
      <c r="H13" s="51">
        <v>100000</v>
      </c>
      <c r="I13" s="40"/>
      <c r="J13" s="40"/>
      <c r="K13" s="40"/>
      <c r="L13" s="45"/>
      <c r="M13" s="182" t="s">
        <v>541</v>
      </c>
    </row>
    <row r="14" spans="2:13" s="19" customFormat="1" ht="12.75" customHeight="1">
      <c r="B14" s="81"/>
      <c r="C14" s="20">
        <v>60016</v>
      </c>
      <c r="D14" s="20"/>
      <c r="E14" s="22" t="s">
        <v>160</v>
      </c>
      <c r="F14" s="23">
        <f aca="true" t="shared" si="1" ref="F14:L14">SUM(F15:F15)</f>
        <v>195000</v>
      </c>
      <c r="G14" s="25">
        <f t="shared" si="1"/>
        <v>37.97</v>
      </c>
      <c r="H14" s="23">
        <f t="shared" si="1"/>
        <v>445000</v>
      </c>
      <c r="I14" s="23">
        <f t="shared" si="1"/>
        <v>0</v>
      </c>
      <c r="J14" s="23">
        <f t="shared" si="1"/>
        <v>0</v>
      </c>
      <c r="K14" s="23">
        <f t="shared" si="1"/>
        <v>0</v>
      </c>
      <c r="L14" s="23">
        <f t="shared" si="1"/>
        <v>20000</v>
      </c>
      <c r="M14" s="361" t="s">
        <v>542</v>
      </c>
    </row>
    <row r="15" spans="2:13" s="19" customFormat="1" ht="39" customHeight="1">
      <c r="B15" s="85"/>
      <c r="C15" s="28"/>
      <c r="D15" s="27">
        <v>6050</v>
      </c>
      <c r="E15" s="29" t="s">
        <v>271</v>
      </c>
      <c r="F15" s="30">
        <v>195000</v>
      </c>
      <c r="G15" s="314">
        <v>37.97</v>
      </c>
      <c r="H15" s="30">
        <f>375000+70000</f>
        <v>445000</v>
      </c>
      <c r="I15" s="30"/>
      <c r="J15" s="30"/>
      <c r="K15" s="30"/>
      <c r="L15" s="30">
        <v>20000</v>
      </c>
      <c r="M15" s="362"/>
    </row>
    <row r="16" spans="2:13" s="19" customFormat="1" ht="12.75">
      <c r="B16" s="90">
        <v>700</v>
      </c>
      <c r="C16" s="91"/>
      <c r="D16" s="91"/>
      <c r="E16" s="92" t="s">
        <v>163</v>
      </c>
      <c r="F16" s="88" t="e">
        <f>F18+#REF!</f>
        <v>#REF!</v>
      </c>
      <c r="G16" s="336" t="e">
        <f>G18+#REF!</f>
        <v>#REF!</v>
      </c>
      <c r="H16" s="88" t="e">
        <f>H18+#REF!</f>
        <v>#REF!</v>
      </c>
      <c r="I16" s="88" t="e">
        <f>I18+#REF!</f>
        <v>#REF!</v>
      </c>
      <c r="J16" s="88" t="e">
        <f>J18+#REF!</f>
        <v>#REF!</v>
      </c>
      <c r="K16" s="88" t="e">
        <f>K18+#REF!</f>
        <v>#REF!</v>
      </c>
      <c r="L16" s="88">
        <f>L18</f>
        <v>1000000</v>
      </c>
      <c r="M16" s="89"/>
    </row>
    <row r="17" spans="2:13" s="4" customFormat="1" ht="76.5" customHeight="1" hidden="1">
      <c r="B17" s="93"/>
      <c r="C17" s="94"/>
      <c r="D17" s="27">
        <v>6210</v>
      </c>
      <c r="E17" s="29" t="s">
        <v>543</v>
      </c>
      <c r="F17" s="30"/>
      <c r="G17" s="314"/>
      <c r="H17" s="30"/>
      <c r="I17" s="30"/>
      <c r="J17" s="30"/>
      <c r="K17" s="30"/>
      <c r="L17" s="30"/>
      <c r="M17" s="83"/>
    </row>
    <row r="18" spans="2:13" s="95" customFormat="1" ht="25.5">
      <c r="B18" s="96"/>
      <c r="C18" s="20">
        <v>70005</v>
      </c>
      <c r="D18" s="20"/>
      <c r="E18" s="22" t="s">
        <v>164</v>
      </c>
      <c r="F18" s="23">
        <f>SUM(F19:F20)</f>
        <v>190891</v>
      </c>
      <c r="G18" s="25">
        <f>SUM(G19:G20)</f>
        <v>139299.16</v>
      </c>
      <c r="H18" s="23">
        <f>SUM(H19:H20)</f>
        <v>1070000</v>
      </c>
      <c r="I18" s="23">
        <f>SUM(I19:I19)</f>
        <v>0</v>
      </c>
      <c r="J18" s="23">
        <f>SUM(J19:J19)</f>
        <v>0</v>
      </c>
      <c r="K18" s="23">
        <f>SUM(K19:K19)</f>
        <v>0</v>
      </c>
      <c r="L18" s="23">
        <f>SUM(L19:L20)</f>
        <v>1000000</v>
      </c>
      <c r="M18" s="97"/>
    </row>
    <row r="19" spans="2:13" s="95" customFormat="1" ht="25.5">
      <c r="B19" s="96"/>
      <c r="C19" s="41"/>
      <c r="D19" s="27">
        <v>6050</v>
      </c>
      <c r="E19" s="29" t="s">
        <v>271</v>
      </c>
      <c r="F19" s="45">
        <v>35000</v>
      </c>
      <c r="G19" s="46">
        <v>32935</v>
      </c>
      <c r="H19" s="45">
        <v>100000</v>
      </c>
      <c r="I19" s="45"/>
      <c r="J19" s="45"/>
      <c r="K19" s="45"/>
      <c r="L19" s="45">
        <v>40000</v>
      </c>
      <c r="M19" s="99" t="s">
        <v>285</v>
      </c>
    </row>
    <row r="20" spans="2:13" s="95" customFormat="1" ht="25.5">
      <c r="B20" s="96"/>
      <c r="C20" s="41"/>
      <c r="D20" s="27">
        <v>6060</v>
      </c>
      <c r="E20" s="29" t="s">
        <v>343</v>
      </c>
      <c r="F20" s="45">
        <v>155891</v>
      </c>
      <c r="G20" s="46">
        <v>106364.16</v>
      </c>
      <c r="H20" s="45">
        <f>40000+930000</f>
        <v>970000</v>
      </c>
      <c r="I20" s="45"/>
      <c r="J20" s="45"/>
      <c r="K20" s="45"/>
      <c r="L20" s="45">
        <v>960000</v>
      </c>
      <c r="M20" s="99" t="s">
        <v>545</v>
      </c>
    </row>
    <row r="21" spans="2:13" s="19" customFormat="1" ht="25.5" customHeight="1" hidden="1">
      <c r="B21" s="81"/>
      <c r="C21" s="20">
        <v>71014</v>
      </c>
      <c r="D21" s="20"/>
      <c r="E21" s="22" t="s">
        <v>288</v>
      </c>
      <c r="F21" s="23">
        <f aca="true" t="shared" si="2" ref="F21:L21">SUM(F22:F22)</f>
        <v>0</v>
      </c>
      <c r="G21" s="25">
        <f t="shared" si="2"/>
        <v>0</v>
      </c>
      <c r="H21" s="23">
        <f t="shared" si="2"/>
        <v>0</v>
      </c>
      <c r="I21" s="23">
        <f t="shared" si="2"/>
        <v>0</v>
      </c>
      <c r="J21" s="23">
        <f t="shared" si="2"/>
        <v>0</v>
      </c>
      <c r="K21" s="23">
        <f t="shared" si="2"/>
        <v>0</v>
      </c>
      <c r="L21" s="23">
        <f t="shared" si="2"/>
        <v>0</v>
      </c>
      <c r="M21" s="84"/>
    </row>
    <row r="22" spans="2:13" s="19" customFormat="1" ht="12.75" customHeight="1" hidden="1">
      <c r="B22" s="81"/>
      <c r="C22" s="27"/>
      <c r="D22" s="27">
        <v>4300</v>
      </c>
      <c r="E22" s="29" t="s">
        <v>268</v>
      </c>
      <c r="F22" s="30"/>
      <c r="G22" s="314"/>
      <c r="H22" s="30"/>
      <c r="I22" s="30"/>
      <c r="J22" s="30"/>
      <c r="K22" s="30"/>
      <c r="L22" s="30"/>
      <c r="M22" s="84" t="s">
        <v>289</v>
      </c>
    </row>
    <row r="23" spans="2:13" s="19" customFormat="1" ht="12.75">
      <c r="B23" s="90">
        <v>750</v>
      </c>
      <c r="C23" s="91"/>
      <c r="D23" s="91"/>
      <c r="E23" s="92" t="s">
        <v>174</v>
      </c>
      <c r="F23" s="88" t="e">
        <f>#REF!+#REF!+F24+#REF!</f>
        <v>#REF!</v>
      </c>
      <c r="G23" s="336" t="e">
        <f>#REF!+#REF!+G24+#REF!</f>
        <v>#REF!</v>
      </c>
      <c r="H23" s="88" t="e">
        <f>#REF!+#REF!+H24+#REF!</f>
        <v>#REF!</v>
      </c>
      <c r="I23" s="88" t="e">
        <f>#REF!+#REF!+I24+#REF!</f>
        <v>#REF!</v>
      </c>
      <c r="J23" s="88" t="e">
        <f>#REF!+#REF!+J24+#REF!</f>
        <v>#REF!</v>
      </c>
      <c r="K23" s="88" t="e">
        <f>#REF!+#REF!+K24+#REF!</f>
        <v>#REF!</v>
      </c>
      <c r="L23" s="88">
        <f>L24</f>
        <v>15400</v>
      </c>
      <c r="M23" s="89"/>
    </row>
    <row r="24" spans="2:13" s="19" customFormat="1" ht="12.75">
      <c r="B24" s="81"/>
      <c r="C24" s="20">
        <v>75023</v>
      </c>
      <c r="D24" s="20"/>
      <c r="E24" s="22" t="s">
        <v>178</v>
      </c>
      <c r="F24" s="23">
        <f>SUM(F25:F25)</f>
        <v>100000</v>
      </c>
      <c r="G24" s="25">
        <f>SUM(G25:G25)</f>
        <v>63196</v>
      </c>
      <c r="H24" s="23">
        <f>SUM(H25:H25)</f>
        <v>94500</v>
      </c>
      <c r="I24" s="23" t="e">
        <f>SUM(#REF!)</f>
        <v>#REF!</v>
      </c>
      <c r="J24" s="23" t="e">
        <f>SUM(#REF!)</f>
        <v>#REF!</v>
      </c>
      <c r="K24" s="23">
        <f>SUM(K25:K25)</f>
        <v>0</v>
      </c>
      <c r="L24" s="23">
        <f>SUM(L25:L25)</f>
        <v>15400</v>
      </c>
      <c r="M24" s="84"/>
    </row>
    <row r="25" spans="2:13" s="19" customFormat="1" ht="25.5">
      <c r="B25" s="81"/>
      <c r="C25" s="27"/>
      <c r="D25" s="27">
        <v>6060</v>
      </c>
      <c r="E25" s="29" t="s">
        <v>343</v>
      </c>
      <c r="F25" s="30">
        <v>100000</v>
      </c>
      <c r="G25" s="314">
        <v>63196</v>
      </c>
      <c r="H25" s="30">
        <f>70200+24300</f>
        <v>94500</v>
      </c>
      <c r="I25" s="30"/>
      <c r="J25" s="30"/>
      <c r="K25" s="30"/>
      <c r="L25" s="30">
        <v>15400</v>
      </c>
      <c r="M25" s="84" t="s">
        <v>32</v>
      </c>
    </row>
    <row r="26" spans="2:13" s="19" customFormat="1" ht="12.75">
      <c r="B26" s="90">
        <v>801</v>
      </c>
      <c r="C26" s="91"/>
      <c r="D26" s="91"/>
      <c r="E26" s="92" t="s">
        <v>230</v>
      </c>
      <c r="F26" s="88" t="e">
        <f>#REF!+#REF!+F27+#REF!+#REF!+#REF!+#REF!+#REF!</f>
        <v>#REF!</v>
      </c>
      <c r="G26" s="336" t="e">
        <f>#REF!+#REF!+G27+#REF!+#REF!+#REF!+#REF!+#REF!</f>
        <v>#REF!</v>
      </c>
      <c r="H26" s="88" t="e">
        <f>#REF!+#REF!+H27+#REF!+#REF!+#REF!+#REF!+#REF!</f>
        <v>#REF!</v>
      </c>
      <c r="I26" s="88" t="e">
        <f>#REF!+#REF!+I27+#REF!+#REF!+#REF!+#REF!</f>
        <v>#REF!</v>
      </c>
      <c r="J26" s="88" t="e">
        <f>#REF!+#REF!+J27+#REF!+#REF!+#REF!+#REF!</f>
        <v>#REF!</v>
      </c>
      <c r="K26" s="88" t="e">
        <f>#REF!+#REF!+K27+#REF!+#REF!+#REF!+#REF!</f>
        <v>#REF!</v>
      </c>
      <c r="L26" s="88">
        <f>L27</f>
        <v>5742707</v>
      </c>
      <c r="M26" s="89"/>
    </row>
    <row r="27" spans="2:13" s="19" customFormat="1" ht="12.75">
      <c r="B27" s="81"/>
      <c r="C27" s="20">
        <v>80110</v>
      </c>
      <c r="D27" s="20"/>
      <c r="E27" s="22" t="s">
        <v>235</v>
      </c>
      <c r="F27" s="23">
        <f aca="true" t="shared" si="3" ref="F27:L27">SUM(F28:F29)</f>
        <v>5905970</v>
      </c>
      <c r="G27" s="25">
        <f t="shared" si="3"/>
        <v>146698.47</v>
      </c>
      <c r="H27" s="23">
        <f t="shared" si="3"/>
        <v>5742707</v>
      </c>
      <c r="I27" s="23">
        <f t="shared" si="3"/>
        <v>0</v>
      </c>
      <c r="J27" s="23">
        <f t="shared" si="3"/>
        <v>0</v>
      </c>
      <c r="K27" s="23">
        <f t="shared" si="3"/>
        <v>0</v>
      </c>
      <c r="L27" s="23">
        <f t="shared" si="3"/>
        <v>5742707</v>
      </c>
      <c r="M27" s="84"/>
    </row>
    <row r="28" spans="2:13" s="19" customFormat="1" ht="25.5">
      <c r="B28" s="81"/>
      <c r="C28" s="20"/>
      <c r="D28" s="27">
        <v>6058</v>
      </c>
      <c r="E28" s="29" t="s">
        <v>271</v>
      </c>
      <c r="F28" s="30">
        <v>3643686</v>
      </c>
      <c r="G28" s="314">
        <v>76746.11</v>
      </c>
      <c r="H28" s="30">
        <v>3380587</v>
      </c>
      <c r="I28" s="30"/>
      <c r="J28" s="30"/>
      <c r="K28" s="30"/>
      <c r="L28" s="30">
        <v>3380587</v>
      </c>
      <c r="M28" s="84" t="s">
        <v>87</v>
      </c>
    </row>
    <row r="29" spans="2:13" s="19" customFormat="1" ht="25.5">
      <c r="B29" s="81"/>
      <c r="C29" s="20"/>
      <c r="D29" s="27">
        <v>6059</v>
      </c>
      <c r="E29" s="29" t="s">
        <v>271</v>
      </c>
      <c r="F29" s="30">
        <v>2262284</v>
      </c>
      <c r="G29" s="314">
        <v>69952.36</v>
      </c>
      <c r="H29" s="30">
        <f>2100222+261898</f>
        <v>2362120</v>
      </c>
      <c r="I29" s="30"/>
      <c r="J29" s="30"/>
      <c r="K29" s="30"/>
      <c r="L29" s="30">
        <f>2100222+261898</f>
        <v>2362120</v>
      </c>
      <c r="M29" s="84" t="s">
        <v>88</v>
      </c>
    </row>
    <row r="30" spans="2:13" s="19" customFormat="1" ht="25.5" customHeight="1" hidden="1">
      <c r="B30" s="81"/>
      <c r="C30" s="27"/>
      <c r="D30" s="27">
        <v>6060</v>
      </c>
      <c r="E30" s="29" t="s">
        <v>343</v>
      </c>
      <c r="F30" s="30"/>
      <c r="G30" s="314"/>
      <c r="H30" s="317"/>
      <c r="I30" s="30"/>
      <c r="J30" s="30"/>
      <c r="K30" s="30"/>
      <c r="L30" s="30"/>
      <c r="M30" s="83"/>
    </row>
    <row r="31" spans="2:13" s="19" customFormat="1" ht="12.75" customHeight="1" hidden="1">
      <c r="B31" s="81"/>
      <c r="C31" s="20">
        <v>85195</v>
      </c>
      <c r="D31" s="20"/>
      <c r="E31" s="22" t="s">
        <v>152</v>
      </c>
      <c r="F31" s="23">
        <f>F32</f>
        <v>0</v>
      </c>
      <c r="G31" s="25">
        <f>G32</f>
        <v>0</v>
      </c>
      <c r="H31" s="23">
        <f>H32</f>
        <v>0</v>
      </c>
      <c r="I31" s="206">
        <f>I32</f>
        <v>0</v>
      </c>
      <c r="J31" s="23">
        <f>J32+J33</f>
        <v>0</v>
      </c>
      <c r="K31" s="23">
        <f>K32+K33</f>
        <v>0</v>
      </c>
      <c r="L31" s="23">
        <f>L32</f>
        <v>0</v>
      </c>
      <c r="M31" s="83"/>
    </row>
    <row r="32" spans="2:13" s="19" customFormat="1" ht="63.75" customHeight="1" hidden="1">
      <c r="B32" s="81"/>
      <c r="C32" s="20"/>
      <c r="D32" s="38">
        <v>2710</v>
      </c>
      <c r="E32" s="39" t="s">
        <v>362</v>
      </c>
      <c r="F32" s="23"/>
      <c r="G32" s="25"/>
      <c r="H32" s="23"/>
      <c r="I32" s="30"/>
      <c r="J32" s="30"/>
      <c r="K32" s="30"/>
      <c r="L32" s="23"/>
      <c r="M32" s="84" t="s">
        <v>363</v>
      </c>
    </row>
    <row r="33" spans="2:13" s="19" customFormat="1" ht="75.75" customHeight="1" hidden="1">
      <c r="B33" s="81"/>
      <c r="C33" s="20"/>
      <c r="D33" s="38">
        <v>6300</v>
      </c>
      <c r="E33" s="39" t="s">
        <v>94</v>
      </c>
      <c r="F33" s="23"/>
      <c r="G33" s="25"/>
      <c r="H33" s="23"/>
      <c r="I33" s="30"/>
      <c r="J33" s="30"/>
      <c r="K33" s="30"/>
      <c r="L33" s="23"/>
      <c r="M33" s="84"/>
    </row>
    <row r="34" spans="2:13" s="19" customFormat="1" ht="12.75" customHeight="1" hidden="1">
      <c r="B34" s="91">
        <v>854</v>
      </c>
      <c r="C34" s="91"/>
      <c r="D34" s="91"/>
      <c r="E34" s="92" t="s">
        <v>532</v>
      </c>
      <c r="F34" s="88">
        <f aca="true" t="shared" si="4" ref="F34:H35">F35</f>
        <v>0</v>
      </c>
      <c r="G34" s="336">
        <f t="shared" si="4"/>
        <v>0</v>
      </c>
      <c r="H34" s="139">
        <f t="shared" si="4"/>
        <v>0</v>
      </c>
      <c r="I34" s="136"/>
      <c r="J34" s="136"/>
      <c r="K34" s="136"/>
      <c r="L34" s="88">
        <f>L35</f>
        <v>0</v>
      </c>
      <c r="M34" s="89"/>
    </row>
    <row r="35" spans="2:13" s="19" customFormat="1" ht="12.75" customHeight="1" hidden="1">
      <c r="B35" s="20"/>
      <c r="C35" s="20">
        <v>85415</v>
      </c>
      <c r="D35" s="52"/>
      <c r="E35" s="207" t="s">
        <v>533</v>
      </c>
      <c r="F35" s="23">
        <f t="shared" si="4"/>
        <v>0</v>
      </c>
      <c r="G35" s="25">
        <f t="shared" si="4"/>
        <v>0</v>
      </c>
      <c r="H35" s="206">
        <f t="shared" si="4"/>
        <v>0</v>
      </c>
      <c r="I35" s="31"/>
      <c r="J35" s="31"/>
      <c r="K35" s="31"/>
      <c r="L35" s="23">
        <f>L36</f>
        <v>0</v>
      </c>
      <c r="M35" s="84"/>
    </row>
    <row r="36" spans="2:13" s="19" customFormat="1" ht="16.5" customHeight="1" hidden="1">
      <c r="B36" s="20"/>
      <c r="C36" s="20"/>
      <c r="D36" s="27">
        <v>3110</v>
      </c>
      <c r="E36" s="29" t="s">
        <v>364</v>
      </c>
      <c r="F36" s="31"/>
      <c r="G36" s="112"/>
      <c r="H36" s="31"/>
      <c r="I36" s="31"/>
      <c r="J36" s="31"/>
      <c r="K36" s="31"/>
      <c r="L36" s="31"/>
      <c r="M36" s="84"/>
    </row>
    <row r="37" spans="2:13" s="19" customFormat="1" ht="25.5">
      <c r="B37" s="90">
        <v>900</v>
      </c>
      <c r="C37" s="91"/>
      <c r="D37" s="91"/>
      <c r="E37" s="92" t="s">
        <v>253</v>
      </c>
      <c r="F37" s="88">
        <f aca="true" t="shared" si="5" ref="F37:L37">F40+F43+F38</f>
        <v>253643</v>
      </c>
      <c r="G37" s="336">
        <f t="shared" si="5"/>
        <v>22143</v>
      </c>
      <c r="H37" s="88">
        <f t="shared" si="5"/>
        <v>234638</v>
      </c>
      <c r="I37" s="88">
        <f t="shared" si="5"/>
        <v>0</v>
      </c>
      <c r="J37" s="88">
        <f t="shared" si="5"/>
        <v>0</v>
      </c>
      <c r="K37" s="88">
        <f t="shared" si="5"/>
        <v>0</v>
      </c>
      <c r="L37" s="88">
        <f t="shared" si="5"/>
        <v>79638</v>
      </c>
      <c r="M37" s="89"/>
    </row>
    <row r="38" spans="2:13" s="43" customFormat="1" ht="25.5">
      <c r="B38" s="96"/>
      <c r="C38" s="36">
        <v>90001</v>
      </c>
      <c r="D38" s="36"/>
      <c r="E38" s="37" t="s">
        <v>254</v>
      </c>
      <c r="F38" s="40">
        <f aca="true" t="shared" si="6" ref="F38:L38">F39</f>
        <v>0</v>
      </c>
      <c r="G38" s="315">
        <f t="shared" si="6"/>
        <v>0</v>
      </c>
      <c r="H38" s="40">
        <f t="shared" si="6"/>
        <v>140000</v>
      </c>
      <c r="I38" s="40">
        <f t="shared" si="6"/>
        <v>0</v>
      </c>
      <c r="J38" s="40">
        <f t="shared" si="6"/>
        <v>0</v>
      </c>
      <c r="K38" s="40">
        <f t="shared" si="6"/>
        <v>0</v>
      </c>
      <c r="L38" s="40">
        <f t="shared" si="6"/>
        <v>20000</v>
      </c>
      <c r="M38" s="87"/>
    </row>
    <row r="39" spans="2:13" s="43" customFormat="1" ht="24.75" customHeight="1">
      <c r="B39" s="96"/>
      <c r="C39" s="41"/>
      <c r="D39" s="27">
        <v>6050</v>
      </c>
      <c r="E39" s="29" t="s">
        <v>271</v>
      </c>
      <c r="F39" s="45">
        <v>0</v>
      </c>
      <c r="G39" s="46">
        <v>0</v>
      </c>
      <c r="H39" s="45">
        <v>140000</v>
      </c>
      <c r="I39" s="45"/>
      <c r="J39" s="45"/>
      <c r="K39" s="45"/>
      <c r="L39" s="45">
        <v>20000</v>
      </c>
      <c r="M39" s="87" t="s">
        <v>101</v>
      </c>
    </row>
    <row r="40" spans="2:13" s="19" customFormat="1" ht="12.75">
      <c r="B40" s="81"/>
      <c r="C40" s="20">
        <v>90015</v>
      </c>
      <c r="D40" s="20"/>
      <c r="E40" s="22" t="s">
        <v>383</v>
      </c>
      <c r="F40" s="23">
        <f aca="true" t="shared" si="7" ref="F40:L40">SUM(F41:F42)</f>
        <v>15343</v>
      </c>
      <c r="G40" s="25">
        <f t="shared" si="7"/>
        <v>0</v>
      </c>
      <c r="H40" s="23">
        <f t="shared" si="7"/>
        <v>24638</v>
      </c>
      <c r="I40" s="23">
        <f t="shared" si="7"/>
        <v>0</v>
      </c>
      <c r="J40" s="23">
        <f t="shared" si="7"/>
        <v>0</v>
      </c>
      <c r="K40" s="23">
        <f t="shared" si="7"/>
        <v>0</v>
      </c>
      <c r="L40" s="23">
        <f t="shared" si="7"/>
        <v>24638</v>
      </c>
      <c r="M40" s="84"/>
    </row>
    <row r="41" spans="2:13" s="19" customFormat="1" ht="51" customHeight="1" hidden="1">
      <c r="B41" s="81"/>
      <c r="C41" s="27"/>
      <c r="D41" s="27">
        <v>4300</v>
      </c>
      <c r="E41" s="29" t="s">
        <v>268</v>
      </c>
      <c r="F41" s="30"/>
      <c r="G41" s="314"/>
      <c r="H41" s="30"/>
      <c r="I41" s="30"/>
      <c r="J41" s="30"/>
      <c r="K41" s="30"/>
      <c r="L41" s="30"/>
      <c r="M41" s="84" t="s">
        <v>387</v>
      </c>
    </row>
    <row r="42" spans="2:13" s="19" customFormat="1" ht="38.25">
      <c r="B42" s="81"/>
      <c r="C42" s="27"/>
      <c r="D42" s="27">
        <v>6050</v>
      </c>
      <c r="E42" s="29" t="s">
        <v>271</v>
      </c>
      <c r="F42" s="30">
        <v>15343</v>
      </c>
      <c r="G42" s="314">
        <v>0</v>
      </c>
      <c r="H42" s="30">
        <f>9638+15000</f>
        <v>24638</v>
      </c>
      <c r="I42" s="30"/>
      <c r="J42" s="30"/>
      <c r="K42" s="30"/>
      <c r="L42" s="30">
        <f>9638+15000</f>
        <v>24638</v>
      </c>
      <c r="M42" s="84" t="s">
        <v>102</v>
      </c>
    </row>
    <row r="43" spans="2:13" s="19" customFormat="1" ht="12.75">
      <c r="B43" s="81"/>
      <c r="C43" s="20">
        <v>90095</v>
      </c>
      <c r="D43" s="20"/>
      <c r="E43" s="22" t="s">
        <v>152</v>
      </c>
      <c r="F43" s="23">
        <f aca="true" t="shared" si="8" ref="F43:L43">SUM(F44:F44)</f>
        <v>238300</v>
      </c>
      <c r="G43" s="25">
        <f t="shared" si="8"/>
        <v>22143</v>
      </c>
      <c r="H43" s="23">
        <f t="shared" si="8"/>
        <v>70000</v>
      </c>
      <c r="I43" s="23">
        <f t="shared" si="8"/>
        <v>0</v>
      </c>
      <c r="J43" s="23">
        <f t="shared" si="8"/>
        <v>0</v>
      </c>
      <c r="K43" s="23">
        <f t="shared" si="8"/>
        <v>0</v>
      </c>
      <c r="L43" s="23">
        <f t="shared" si="8"/>
        <v>35000</v>
      </c>
      <c r="M43" s="84"/>
    </row>
    <row r="44" spans="2:13" s="19" customFormat="1" ht="25.5">
      <c r="B44" s="81"/>
      <c r="C44" s="27"/>
      <c r="D44" s="27">
        <v>6050</v>
      </c>
      <c r="E44" s="29" t="s">
        <v>271</v>
      </c>
      <c r="F44" s="30">
        <v>238300</v>
      </c>
      <c r="G44" s="314">
        <v>22143</v>
      </c>
      <c r="H44" s="30">
        <v>70000</v>
      </c>
      <c r="I44" s="30"/>
      <c r="J44" s="30"/>
      <c r="K44" s="30"/>
      <c r="L44" s="30">
        <v>35000</v>
      </c>
      <c r="M44" s="84" t="s">
        <v>105</v>
      </c>
    </row>
    <row r="45" spans="2:13" s="19" customFormat="1" ht="13.5" thickBot="1">
      <c r="B45" s="113"/>
      <c r="C45" s="114"/>
      <c r="D45" s="114"/>
      <c r="E45" s="115" t="s">
        <v>258</v>
      </c>
      <c r="F45" s="116" t="e">
        <f>F8+F11+F16+F23+#REF!+#REF!+#REF!+F26+#REF!+#REF!+F37+#REF!+#REF!+#REF!+#REF!+#REF!+#REF!</f>
        <v>#REF!</v>
      </c>
      <c r="G45" s="337" t="e">
        <f>G8+G11+G16+G23+#REF!+#REF!+#REF!+G26+#REF!+#REF!+G37+#REF!+#REF!+#REF!+#REF!+#REF!+#REF!</f>
        <v>#REF!</v>
      </c>
      <c r="H45" s="116" t="e">
        <f>H8+H11+H16+H23+#REF!+#REF!+#REF!+H26+#REF!+#REF!+H37+#REF!+#REF!+#REF!+#REF!+#REF!+#REF!</f>
        <v>#REF!</v>
      </c>
      <c r="I45" s="116" t="e">
        <f>I8+I11+I16+I23+#REF!+#REF!+#REF!+I26+#REF!+#REF!+I37+#REF!+#REF!+#REF!+#REF!+#REF!+#REF!</f>
        <v>#REF!</v>
      </c>
      <c r="J45" s="116" t="e">
        <f>J8+J11+J16+J23+#REF!+#REF!+#REF!+J26+#REF!+#REF!+J37+#REF!+#REF!+#REF!+#REF!+#REF!+#REF!</f>
        <v>#REF!</v>
      </c>
      <c r="K45" s="116" t="e">
        <f>K8+K11+K16+K23+#REF!+#REF!+#REF!+K26+#REF!+#REF!+K37+#REF!+#REF!+#REF!+#REF!+#REF!+#REF!</f>
        <v>#REF!</v>
      </c>
      <c r="L45" s="116">
        <f>L8+L11+L16+L23+L26+L37</f>
        <v>7090783</v>
      </c>
      <c r="M45" s="212"/>
    </row>
    <row r="46" spans="7:13" s="19" customFormat="1" ht="12.75">
      <c r="G46" s="338"/>
      <c r="H46" s="47"/>
      <c r="I46" s="47"/>
      <c r="J46" s="47"/>
      <c r="K46" s="47"/>
      <c r="L46" s="47"/>
      <c r="M46" s="117"/>
    </row>
    <row r="47" spans="5:13" s="19" customFormat="1" ht="15.75">
      <c r="E47" s="10"/>
      <c r="F47" s="10"/>
      <c r="G47" s="339"/>
      <c r="H47" s="118">
        <f>'[1]Dochody zał.Nr 1'!E127-'[1]Wydatki zał.Nr 2'!H277</f>
        <v>-3453538</v>
      </c>
      <c r="I47" s="118" t="e">
        <f>I45</f>
        <v>#REF!</v>
      </c>
      <c r="J47" s="118" t="e">
        <f>J45</f>
        <v>#REF!</v>
      </c>
      <c r="K47" s="118" t="e">
        <f>K45</f>
        <v>#REF!</v>
      </c>
      <c r="L47" s="118"/>
      <c r="M47" s="117"/>
    </row>
    <row r="48" spans="4:13" s="19" customFormat="1" ht="12.75">
      <c r="D48" s="67"/>
      <c r="E48" s="47"/>
      <c r="F48" s="47"/>
      <c r="G48" s="340"/>
      <c r="I48" s="47">
        <f>-'[1]Dochody zał.Nr 1'!C127</f>
        <v>0</v>
      </c>
      <c r="J48" s="47" t="e">
        <f>-'[1]Dochody zał.Nr 1'!#REF!</f>
        <v>#REF!</v>
      </c>
      <c r="K48" s="47" t="e">
        <f>-'[1]Dochody zał.Nr 1'!D127</f>
        <v>#VALUE!</v>
      </c>
      <c r="M48" s="4"/>
    </row>
    <row r="49" spans="7:13" s="19" customFormat="1" ht="12.75">
      <c r="G49" s="338"/>
      <c r="I49" s="341" t="e">
        <f>SUM(I47:I48)</f>
        <v>#REF!</v>
      </c>
      <c r="J49" s="341" t="e">
        <f>SUM(J47:J48)</f>
        <v>#REF!</v>
      </c>
      <c r="K49" s="341" t="e">
        <f>SUM(K47:K48)</f>
        <v>#REF!</v>
      </c>
      <c r="M49" s="4"/>
    </row>
    <row r="50" spans="5:13" s="19" customFormat="1" ht="12.75">
      <c r="E50" s="47"/>
      <c r="F50" s="47"/>
      <c r="G50" s="340"/>
      <c r="H50" s="47"/>
      <c r="I50" s="47"/>
      <c r="J50" s="47"/>
      <c r="K50" s="47"/>
      <c r="L50" s="47"/>
      <c r="M50" s="4"/>
    </row>
    <row r="51" spans="5:13" s="19" customFormat="1" ht="12.75">
      <c r="E51" s="19" t="s">
        <v>1</v>
      </c>
      <c r="G51" s="338"/>
      <c r="H51" s="47"/>
      <c r="I51" s="47" t="e">
        <f>I44+I42+I29+I28+#REF!+I19+I15+I10</f>
        <v>#REF!</v>
      </c>
      <c r="J51" s="47" t="e">
        <f>J44+J42+J29+J28+#REF!+J19+J15+J10</f>
        <v>#REF!</v>
      </c>
      <c r="K51" s="47" t="e">
        <f>K44+K42+K29+K28+#REF!+K19+K15+K10+#REF!</f>
        <v>#REF!</v>
      </c>
      <c r="L51" s="47"/>
      <c r="M51" s="4"/>
    </row>
    <row r="52" spans="5:13" s="19" customFormat="1" ht="12.75">
      <c r="E52" s="19">
        <v>401</v>
      </c>
      <c r="G52" s="338"/>
      <c r="H52" s="47"/>
      <c r="I52" s="47" t="e">
        <f>I47-I51</f>
        <v>#REF!</v>
      </c>
      <c r="J52" s="47" t="e">
        <f>J47-J51</f>
        <v>#REF!</v>
      </c>
      <c r="K52" s="47" t="e">
        <f>K47-K51</f>
        <v>#REF!</v>
      </c>
      <c r="L52" s="47"/>
      <c r="M52" s="4"/>
    </row>
    <row r="53" spans="5:13" s="19" customFormat="1" ht="12.75">
      <c r="E53" s="19">
        <v>411</v>
      </c>
      <c r="G53" s="338"/>
      <c r="H53" s="47"/>
      <c r="I53" s="47"/>
      <c r="J53" s="47"/>
      <c r="K53" s="47"/>
      <c r="L53" s="47"/>
      <c r="M53" s="4"/>
    </row>
    <row r="54" spans="5:13" s="19" customFormat="1" ht="12.75">
      <c r="E54" s="19">
        <v>417</v>
      </c>
      <c r="G54" s="338"/>
      <c r="H54" s="47"/>
      <c r="I54" s="47" t="e">
        <f>I47-K47</f>
        <v>#REF!</v>
      </c>
      <c r="J54" s="47"/>
      <c r="K54" s="47"/>
      <c r="L54" s="47"/>
      <c r="M54" s="4"/>
    </row>
    <row r="55" spans="5:13" s="19" customFormat="1" ht="12.75">
      <c r="E55" s="19">
        <v>427</v>
      </c>
      <c r="G55" s="338"/>
      <c r="H55" s="47"/>
      <c r="I55" s="47"/>
      <c r="J55" s="47"/>
      <c r="K55" s="47"/>
      <c r="L55" s="47"/>
      <c r="M55" s="4"/>
    </row>
    <row r="56" spans="7:13" s="19" customFormat="1" ht="12.75">
      <c r="G56" s="338"/>
      <c r="H56" s="47"/>
      <c r="I56" s="47"/>
      <c r="J56" s="47"/>
      <c r="K56" s="47"/>
      <c r="L56" s="47"/>
      <c r="M56" s="4"/>
    </row>
    <row r="57" spans="7:13" s="19" customFormat="1" ht="12.75">
      <c r="G57" s="338"/>
      <c r="H57" s="47"/>
      <c r="I57" s="47"/>
      <c r="J57" s="47"/>
      <c r="K57" s="47"/>
      <c r="L57" s="47"/>
      <c r="M57" s="4"/>
    </row>
    <row r="58" spans="7:13" s="19" customFormat="1" ht="12.75">
      <c r="G58" s="338"/>
      <c r="M58" s="4"/>
    </row>
    <row r="59" spans="7:13" s="19" customFormat="1" ht="12.75">
      <c r="G59" s="338"/>
      <c r="M59" s="4"/>
    </row>
  </sheetData>
  <mergeCells count="14">
    <mergeCell ref="F4:F5"/>
    <mergeCell ref="G4:G5"/>
    <mergeCell ref="B4:B5"/>
    <mergeCell ref="C4:C5"/>
    <mergeCell ref="D4:D5"/>
    <mergeCell ref="E4:E5"/>
    <mergeCell ref="M14:M15"/>
    <mergeCell ref="M2:M3"/>
    <mergeCell ref="H4:H5"/>
    <mergeCell ref="I4:I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Iwona Krata</cp:lastModifiedBy>
  <cp:lastPrinted>2005-12-27T09:16:46Z</cp:lastPrinted>
  <dcterms:created xsi:type="dcterms:W3CDTF">2004-12-20T12:27:50Z</dcterms:created>
  <dcterms:modified xsi:type="dcterms:W3CDTF">2005-12-27T10:09:54Z</dcterms:modified>
  <cp:category/>
  <cp:version/>
  <cp:contentType/>
  <cp:contentStatus/>
</cp:coreProperties>
</file>