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2525" activeTab="4"/>
  </bookViews>
  <sheets>
    <sheet name="Strona tyt." sheetId="1" r:id="rId1"/>
    <sheet name="Zał.nr 1" sheetId="2" r:id="rId2"/>
    <sheet name="Zał.nr 2" sheetId="3" r:id="rId3"/>
    <sheet name="Dotacje" sheetId="4" r:id="rId4"/>
    <sheet name="Wydatki opis" sheetId="5" r:id="rId5"/>
    <sheet name="Zał.nr 3" sheetId="6" r:id="rId6"/>
    <sheet name="Zał.nr 4" sheetId="7" r:id="rId7"/>
    <sheet name="Zał.nr 5" sheetId="8" r:id="rId8"/>
    <sheet name="Inwestycje opis" sheetId="9" r:id="rId9"/>
    <sheet name="Zał.nr 6" sheetId="10" r:id="rId10"/>
    <sheet name="do zał.nr 6" sheetId="11" r:id="rId11"/>
    <sheet name="Zał.nr 7" sheetId="12" r:id="rId12"/>
    <sheet name="ZUK przychody" sheetId="13" r:id="rId13"/>
    <sheet name="ZUK koszty" sheetId="14" r:id="rId14"/>
    <sheet name="Zał.nr 8" sheetId="15" r:id="rId15"/>
    <sheet name="Zał.nr 9 Biblioteka" sheetId="16" r:id="rId16"/>
    <sheet name="Zał.nr 10 GOK" sheetId="17" r:id="rId17"/>
  </sheets>
  <externalReferences>
    <externalReference r:id="rId20"/>
    <externalReference r:id="rId21"/>
  </externalReferences>
  <definedNames>
    <definedName name="_xlnm.Print_Titles" localSheetId="1">'Zał.nr 1'!$3:$5</definedName>
    <definedName name="_xlnm.Print_Titles" localSheetId="2">'Zał.nr 2'!$3:$5</definedName>
    <definedName name="_xlnm.Print_Titles" localSheetId="7">'Zał.nr 5'!$3:$5</definedName>
    <definedName name="_xlnm.Print_Titles" localSheetId="13">'ZUK koszty'!$3:$3</definedName>
  </definedNames>
  <calcPr fullCalcOnLoad="1"/>
</workbook>
</file>

<file path=xl/sharedStrings.xml><?xml version="1.0" encoding="utf-8"?>
<sst xmlns="http://schemas.openxmlformats.org/spreadsheetml/2006/main" count="2188" uniqueCount="1218">
  <si>
    <r>
      <t>2.</t>
    </r>
    <r>
      <rPr>
        <sz val="12"/>
        <rFont val="Times New Roman"/>
        <family val="1"/>
      </rPr>
      <t xml:space="preserve"> W  2007 roku Rada Gminy podjęła dziesięć uchwał zmieniających plan dochodów, wydatków, przychodów i rozchodów budżetowych: </t>
    </r>
  </si>
  <si>
    <t xml:space="preserve">         6.695.234,00 zł </t>
  </si>
  <si>
    <r>
      <t xml:space="preserve">         </t>
    </r>
    <r>
      <rPr>
        <b/>
        <sz val="12"/>
        <rFont val="Times New Roman"/>
        <family val="1"/>
      </rPr>
      <t xml:space="preserve">4.588.661,00 zł </t>
    </r>
  </si>
  <si>
    <t xml:space="preserve">              99.154,00 zł </t>
  </si>
  <si>
    <t xml:space="preserve">         2.205.727,00 zł </t>
  </si>
  <si>
    <t>Ostatecznie plan budżetu na dzień 31.12.2007 r. po stronie</t>
  </si>
  <si>
    <r>
      <t xml:space="preserve">22.410.033,00 zł </t>
    </r>
    <r>
      <rPr>
        <sz val="12"/>
        <rFont val="Times New Roman"/>
        <family val="1"/>
      </rPr>
      <t>(Zał.nr 1)</t>
    </r>
  </si>
  <si>
    <r>
      <t xml:space="preserve">20.231.804,00 zł </t>
    </r>
    <r>
      <rPr>
        <sz val="12"/>
        <rFont val="Times New Roman"/>
        <family val="1"/>
      </rPr>
      <t>(Zał.nr 2)</t>
    </r>
  </si>
  <si>
    <r>
      <t xml:space="preserve">     </t>
    </r>
    <r>
      <rPr>
        <b/>
        <sz val="12"/>
        <rFont val="Times New Roman"/>
        <family val="1"/>
      </rPr>
      <t>449.154,00 zł</t>
    </r>
    <r>
      <rPr>
        <sz val="12"/>
        <rFont val="Times New Roman"/>
        <family val="1"/>
      </rPr>
      <t xml:space="preserve"> (Zał.nr 3)</t>
    </r>
  </si>
  <si>
    <r>
      <t xml:space="preserve">  2.627.383,00 zł </t>
    </r>
    <r>
      <rPr>
        <sz val="12"/>
        <rFont val="Times New Roman"/>
        <family val="1"/>
      </rPr>
      <t>(Zał.nr 3)</t>
    </r>
  </si>
  <si>
    <r>
      <t>3.</t>
    </r>
    <r>
      <rPr>
        <sz val="12"/>
        <rFont val="Times New Roman"/>
        <family val="1"/>
      </rPr>
      <t xml:space="preserve"> Dochody budżetu gminy w  2007  roku wykonano w wysokości </t>
    </r>
  </si>
  <si>
    <r>
      <t>4.</t>
    </r>
    <r>
      <rPr>
        <sz val="12"/>
        <rFont val="Times New Roman"/>
        <family val="1"/>
      </rPr>
      <t xml:space="preserve"> Wydatki budżetu gminy w  2007 roku wykonano w wysokości </t>
    </r>
  </si>
  <si>
    <t>za okres od 01.01.2007 r. – 31.12.2007 r.</t>
  </si>
  <si>
    <t>Wykonanie na 31.12.2007 r.</t>
  </si>
  <si>
    <r>
      <t xml:space="preserve">Przychody wykonano w wysokości          </t>
    </r>
    <r>
      <rPr>
        <b/>
        <sz val="12"/>
        <rFont val="Times New Roman"/>
        <family val="1"/>
      </rPr>
      <t>80.379,42 zł</t>
    </r>
  </si>
  <si>
    <r>
      <t xml:space="preserve">Wydatki    wykonano w wysokości          </t>
    </r>
    <r>
      <rPr>
        <b/>
        <sz val="12"/>
        <rFont val="Times New Roman"/>
        <family val="1"/>
      </rPr>
      <t>41.294,17 zł</t>
    </r>
  </si>
  <si>
    <t>Większość  wydatków (bez inwestycji) stanowią płace i ich pochodne nauczycieli</t>
  </si>
  <si>
    <t xml:space="preserve">oraz pracowników obsługi dodatki mieszkaniowe, odpis na Fundusz Socjalny </t>
  </si>
  <si>
    <t>- wynagrodzenia dla opiekunów dzieci dowożonych</t>
  </si>
  <si>
    <t>Rozdział ten obejmuje  koszty funkcjonowania Gminnego Zespołu Oświatowego.</t>
  </si>
  <si>
    <t>Wydatki w tym rozdziale obejmują:</t>
  </si>
  <si>
    <t>- płace i ich pochodne, dodatkowe wynagrodzenie roczne odpis na</t>
  </si>
  <si>
    <t xml:space="preserve">   Fundusz Socjalny</t>
  </si>
  <si>
    <t>- zakup materiałów biurowych, druków, czasopism fachowych</t>
  </si>
  <si>
    <t>- usługi naprawcze (prace systemowe i serwis komputerów)</t>
  </si>
  <si>
    <t>- zakup usług (koszty prowizji bankowych, licencja oprogramowania SIGID, szkolenia)</t>
  </si>
  <si>
    <t>- wydatki na dokształcanie i doskonalenie zawodowe</t>
  </si>
  <si>
    <t>- wydatki przeznaczone na odpis Funduszu Socjalnego dla emerytów i rencistów</t>
  </si>
  <si>
    <t>851 OCHRONA ZDROWIA</t>
  </si>
  <si>
    <t>·       wynagrodzenie psychologa terapeuty (prowadzenie Punktu Informacyjno-Konsultacyjno-Terapeutycznego)</t>
  </si>
  <si>
    <t>·     drobne prace remontowe  (siedziba GKRPA)</t>
  </si>
  <si>
    <r>
      <t xml:space="preserve">Liczba zezwoleń:                                                                  * </t>
    </r>
    <r>
      <rPr>
        <b/>
        <sz val="8"/>
        <rFont val="Times New Roman CE"/>
        <family val="0"/>
      </rPr>
      <t>zezwolenie na sprzedaż i spożycie poza miejscem sprzedaży (sklepy )</t>
    </r>
    <r>
      <rPr>
        <sz val="8"/>
        <rFont val="Times New Roman CE"/>
        <family val="0"/>
      </rPr>
      <t xml:space="preserve"> - do 4,5% - </t>
    </r>
    <r>
      <rPr>
        <b/>
        <sz val="8"/>
        <rFont val="Times New Roman CE"/>
        <family val="0"/>
      </rPr>
      <t>30,</t>
    </r>
    <r>
      <rPr>
        <sz val="8"/>
        <rFont val="Times New Roman CE"/>
        <family val="0"/>
      </rPr>
      <t xml:space="preserve"> -4,5% - 18% </t>
    </r>
    <r>
      <rPr>
        <b/>
        <sz val="8"/>
        <rFont val="Times New Roman CE"/>
        <family val="0"/>
      </rPr>
      <t xml:space="preserve">25, </t>
    </r>
    <r>
      <rPr>
        <sz val="8"/>
        <rFont val="Times New Roman CE"/>
        <family val="0"/>
      </rPr>
      <t xml:space="preserve">- pow.18% - </t>
    </r>
    <r>
      <rPr>
        <b/>
        <sz val="8"/>
        <rFont val="Times New Roman CE"/>
        <family val="0"/>
      </rPr>
      <t>18</t>
    </r>
    <r>
      <rPr>
        <sz val="8"/>
        <rFont val="Times New Roman CE"/>
        <family val="0"/>
      </rPr>
      <t xml:space="preserve">                                                                                                                            * </t>
    </r>
    <r>
      <rPr>
        <b/>
        <sz val="8"/>
        <rFont val="Times New Roman CE"/>
        <family val="0"/>
      </rPr>
      <t>zezwolenie na sprzedaż i spożycie poza miejscem sprzedaży (gastronomia)</t>
    </r>
    <r>
      <rPr>
        <sz val="8"/>
        <rFont val="Times New Roman CE"/>
        <family val="0"/>
      </rPr>
      <t xml:space="preserve">  - do 4,5% - </t>
    </r>
    <r>
      <rPr>
        <b/>
        <sz val="8"/>
        <rFont val="Times New Roman CE"/>
        <family val="0"/>
      </rPr>
      <t>6,</t>
    </r>
    <r>
      <rPr>
        <sz val="8"/>
        <rFont val="Times New Roman CE"/>
        <family val="0"/>
      </rPr>
      <t xml:space="preserve">  -4,5% - 18% </t>
    </r>
    <r>
      <rPr>
        <b/>
        <sz val="8"/>
        <rFont val="Times New Roman CE"/>
        <family val="0"/>
      </rPr>
      <t>3,</t>
    </r>
    <r>
      <rPr>
        <sz val="8"/>
        <rFont val="Times New Roman CE"/>
        <family val="0"/>
      </rPr>
      <t xml:space="preserve"> - pow.18% - </t>
    </r>
    <r>
      <rPr>
        <b/>
        <sz val="8"/>
        <rFont val="Times New Roman CE"/>
        <family val="0"/>
      </rPr>
      <t xml:space="preserve">4                                                                                                                                                    </t>
    </r>
    <r>
      <rPr>
        <sz val="8"/>
        <rFont val="Times New Roman CE"/>
        <family val="0"/>
      </rPr>
      <t xml:space="preserve"> * </t>
    </r>
    <r>
      <rPr>
        <b/>
        <sz val="8"/>
        <rFont val="Times New Roman CE"/>
        <family val="0"/>
      </rPr>
      <t>zezwolenia jednorazowe</t>
    </r>
    <r>
      <rPr>
        <sz val="8"/>
        <rFont val="Times New Roman CE"/>
        <family val="0"/>
      </rPr>
      <t xml:space="preserve">  - do 4,5% - </t>
    </r>
    <r>
      <rPr>
        <b/>
        <sz val="8"/>
        <rFont val="Times New Roman CE"/>
        <family val="0"/>
      </rPr>
      <t>7</t>
    </r>
    <r>
      <rPr>
        <sz val="8"/>
        <rFont val="Times New Roman CE"/>
        <family val="0"/>
      </rPr>
      <t xml:space="preserve">                                                                                                                    *</t>
    </r>
    <r>
      <rPr>
        <b/>
        <sz val="8"/>
        <rFont val="Times New Roman CE"/>
        <family val="0"/>
      </rPr>
      <t xml:space="preserve"> katering</t>
    </r>
    <r>
      <rPr>
        <sz val="8"/>
        <rFont val="Times New Roman CE"/>
        <family val="0"/>
      </rPr>
      <t xml:space="preserve"> - do 4,5% - </t>
    </r>
    <r>
      <rPr>
        <b/>
        <sz val="8"/>
        <rFont val="Times New Roman CE"/>
        <family val="0"/>
      </rPr>
      <t>0,</t>
    </r>
    <r>
      <rPr>
        <sz val="8"/>
        <rFont val="Times New Roman CE"/>
        <family val="0"/>
      </rPr>
      <t xml:space="preserve">  -4,5% - </t>
    </r>
    <r>
      <rPr>
        <b/>
        <sz val="8"/>
        <rFont val="Times New Roman CE"/>
        <family val="0"/>
      </rPr>
      <t>0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</si>
  <si>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sprzętu i wyposażenia (pieczątki, kalkulatory, zszywacze, nagrywarka DVD Panasonic DM-REH 55 EP-S, drukarka K550, skaner HP, akcesoria i drobny sprzęt komputerowy oraz oprogramowanie komputerowe, wyposażenie pomieszczeń socjalnych)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</si>
  <si>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remont  budynków A, B, i C Urzędu Gminy</t>
    </r>
  </si>
  <si>
    <t>-      wykonanie modernizacj kotłowni w świetlicy w Bytyniu</t>
  </si>
  <si>
    <t>-      zakup kotła gazowego do świetlicy wiejskiej w Radzynach</t>
  </si>
  <si>
    <t>-      zakup kosiarek i wykaszarek dla sołectw (Piersko, Pólko, Sokolniki Wielkie, Sokolniki Małe, Gorszewice, Witkowice, Chlewiska, Gaj Wielki)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</si>
  <si>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 wydatki na sołectwa w gminie (drobne remonty budynków świetlic, energia, gaz, woda, wywóz nieczystości, usł.kosiarki)</t>
    </r>
  </si>
  <si>
    <t>-      zakup wieży Philips do świetlicy w Chlewiskach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</si>
  <si>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projekt remontu pomnika ofiar II wojny światowej w Kaźmierzu</t>
    </r>
  </si>
  <si>
    <t>- zakupiono behringer, mixer, klarnet B, 2 wzmacniacze                                                                                 - stroje reprezentacyjne dla członków zespołu "Peter's Band" i chóru "Moniuszko"</t>
  </si>
  <si>
    <t>- przychody z wynajmu sali GOK</t>
  </si>
  <si>
    <t>- przychody finansowe z kapitalizacji odsetek ze środków na rachunku bankowym GOK</t>
  </si>
  <si>
    <t>sprzęt muzyczny</t>
  </si>
  <si>
    <t xml:space="preserve">- koszty poniesione na materiały bieżącego utrzymania, materiały remontowe                                                                      - zakupiono kuchenkę gazową na potrzeby kuchni GOK                          </t>
  </si>
  <si>
    <t>- koszty zakupu usług przewozu członków chóru "Moniuszko", zespołu "Kaźmierzanki" na występy</t>
  </si>
  <si>
    <t>- koszty wykonania prac remontowych elewacji budynku GOK</t>
  </si>
  <si>
    <t>- koszty organizacji imprez kulturalnych oraz koszty obsługi przedstawień dla dzieci                                                                                    - koszty cyklu koncertów edukacyjnych dla młodzieży szkolnej                                                                                            - koszty przygotowania aranżacji muzycznej utworów "Peter's Band"</t>
  </si>
  <si>
    <t xml:space="preserve">pracowników zatrudnionych na umowę o pracę </t>
  </si>
  <si>
    <t>pochodne od wynagrodzeń pracowników zatrudnionych na umowę o pracę</t>
  </si>
  <si>
    <t>pochodne od wynagrodzeń pracowników zatrudnionych na umowę zlecenie i o dzieło</t>
  </si>
  <si>
    <t>pracowników zatrudnionych na umowę zlecenie i o dzieło</t>
  </si>
  <si>
    <t>odsetki ze środków na rk-u bankowym i prowizja płatnika składek z tyt.podatku dochodowego</t>
  </si>
  <si>
    <t>- przychody z opłaty za ogniska muzyczne i zajęcia wokalne</t>
  </si>
  <si>
    <t>PRZYCHODY I ROZCHODY 2007r.</t>
  </si>
  <si>
    <t>Plan dochodów/wydatków w 2007 r.</t>
  </si>
  <si>
    <t>Zał.nr 7</t>
  </si>
  <si>
    <t>Plan dochodów przeniesiony do 010-01095-2710  (Uchwała nr XIV/71/07 Rady Gminy Kaźmierz z dnia 13.10.2007 r.)</t>
  </si>
  <si>
    <r>
      <t xml:space="preserve">Odsetki od nieterminowych wpłat opłaty planistycznej.                                                                                                         </t>
    </r>
    <r>
      <rPr>
        <b/>
        <sz val="8"/>
        <rFont val="Times New Roman CE"/>
        <family val="1"/>
      </rPr>
      <t>Zaległości:</t>
    </r>
    <r>
      <rPr>
        <sz val="8"/>
        <rFont val="Times New Roman CE"/>
        <family val="1"/>
      </rPr>
      <t xml:space="preserve"> należne odsetki na 31.12.2007 r. - 53.946,02</t>
    </r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</si>
  <si>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>Gminnej Biblioteki Publicznej w Kaźmierzu</t>
    </r>
  </si>
  <si>
    <t>926  KULTURA FIZYCZNA I SPORT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</si>
  <si>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dotacja dla organizacji pozarządowej UKS Kaźmierz "SOKÓŁ" (Umowa Nr 1/2005 z dnia 28.04.2005r.)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</si>
  <si>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wynagrodzenie gospodarzy boisk sportowych i instruktorów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</si>
  <si>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utrzymanie płyty boiska w Kaźmierzu i Bytyniu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</si>
  <si>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wydatki związane z organizacją turniejów i festynów sportowych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</si>
  <si>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materiały bieżącego utrzymania i drobnych remontów obiektów sportowych na terenie Gminy</t>
    </r>
  </si>
  <si>
    <r>
      <t>1.</t>
    </r>
    <r>
      <rPr>
        <sz val="12"/>
        <rFont val="Times New Roman"/>
        <family val="1"/>
      </rPr>
      <t xml:space="preserve"> Budżet gminy na 2007 r. uchwalony został 22 grudnia 2006 r. uchwałą Rady Gminy Kaźmierz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</si>
  <si>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w kwocie   </t>
    </r>
    <r>
      <rPr>
        <b/>
        <sz val="12"/>
        <rFont val="Times New Roman"/>
        <family val="1"/>
      </rPr>
      <t>15.714.799,00 zł</t>
    </r>
    <r>
      <rPr>
        <sz val="12"/>
        <rFont val="Times New Roman"/>
        <family val="1"/>
      </rPr>
      <t xml:space="preserve"> po stronie dochodów,</t>
    </r>
  </si>
  <si>
    <t>-      wykup nieruchomości zabudowanej położonej  w m.Młodasko z przeznaczeniem na świetlicę wiejską</t>
  </si>
  <si>
    <t>- odsetki od pożyczki Umowa Nr ZPORR_351.001222.30 (prefinansowanie) na inwestycję pn."Budowa gimnazjum wraz z salą gimnastyczną w Kaźmierzu".</t>
  </si>
  <si>
    <t>DOCHODY GMINY KAŹMIERZ W 2007r.</t>
  </si>
  <si>
    <t>Dz</t>
  </si>
  <si>
    <t>Rozdz</t>
  </si>
  <si>
    <t>§</t>
  </si>
  <si>
    <t>Treść</t>
  </si>
  <si>
    <t xml:space="preserve">Plan dochodów budżetowych na 2007 r.               </t>
  </si>
  <si>
    <t>Zmiany</t>
  </si>
  <si>
    <t>Plan dochodów po zmianach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</si>
  <si>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</si>
  <si>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</si>
  <si>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</si>
  <si>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</si>
  <si>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</si>
  <si>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</si>
  <si>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</si>
  <si>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</si>
  <si>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</si>
  <si>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</si>
  <si>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</si>
  <si>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</si>
  <si>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%</t>
  </si>
  <si>
    <t>PROJEKT</t>
  </si>
  <si>
    <t>010</t>
  </si>
  <si>
    <t>Rolnictwo i łowiectwo</t>
  </si>
  <si>
    <t>01010</t>
  </si>
  <si>
    <t>Infrastruktura wodociągowa i sanitacji wsi</t>
  </si>
  <si>
    <t>0970</t>
  </si>
  <si>
    <t>Wpływy z różnych dochodów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</si>
  <si>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</si>
  <si>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</si>
  <si>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</si>
  <si>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</si>
  <si>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realizację zadań bieżących z zakresu administracji rządowej oraz innych zadań zleconych gminie ustawami</t>
  </si>
  <si>
    <t>020</t>
  </si>
  <si>
    <t>Leśnictwo</t>
  </si>
  <si>
    <t>02095</t>
  </si>
  <si>
    <t>Plan dochodów przeniesiony do 010-01095-0750 (Uchwała nr V/29/07 Rady Gminy Kaźmierz z dnia 02.03.2007 r.)</t>
  </si>
  <si>
    <t>Transport i łączność</t>
  </si>
  <si>
    <t>Drogi publiczne powiatowe</t>
  </si>
  <si>
    <t>Dotacje otrzymane z powiatu na  inwestycje i zakupy inwestycyjne realizowane na podstawie porozumień (umów) między jednostkami samorządu terytorialnego.</t>
  </si>
  <si>
    <t>Drogi publiczne gminne</t>
  </si>
  <si>
    <t>Dotacje otrzymane z funduszy celowych na finansowanie lub dofinansowanie kosztów realizacji inwestycji i zakupów inwestycyjnych jednostek sektora finansów publicznych</t>
  </si>
  <si>
    <t>Wpływy z tytułu pomocy finansowej udzielanej między jednostkami samorządu terytorialnego na dofinansowanie własnych zadań inwestycyjnych i zakupów inwestycyjnych.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</si>
  <si>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</si>
  <si>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</si>
  <si>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</si>
  <si>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</si>
  <si>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0770</t>
  </si>
  <si>
    <t>Wpłaty z tytułu odpłatnego nabycia prawa własności oraz prawa użytkowania wieczystego nieruchomości</t>
  </si>
  <si>
    <t>0910</t>
  </si>
  <si>
    <t>Odsetki od nieterminowych wpłat z tytułu podatków i opłat</t>
  </si>
  <si>
    <t xml:space="preserve">Odsetki od nieterminowych wpłat                                                      </t>
  </si>
  <si>
    <t>0920</t>
  </si>
  <si>
    <t>Pozostałe odsetki</t>
  </si>
  <si>
    <t>Odsetki z ratalnej sprzedaży mieszkań i budynków</t>
  </si>
  <si>
    <t>Administracja publiczna</t>
  </si>
  <si>
    <t>Urzędy wojewódzkie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</si>
  <si>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ogłoszenia prasowe, opłaty notarialne, wypisy z rejestru gruntów, opłaty podziałowe, projekty decyzji, wyceny nieruchomości</t>
    </r>
  </si>
  <si>
    <t>710  DZIAŁALNOŚĆ USŁUGOWA</t>
  </si>
  <si>
    <t>- wykonanie planu założeń do planu zaopatrzenia w ciepło, energię elektryczną i paliwa gazowe</t>
  </si>
  <si>
    <t>- wynagrodzenie komisji urbanistycznej (zgodnie z Zarządzeniem nr 32/06 Wójta Gminy Kaźmierz z dnia 20.03.2006 r.)</t>
  </si>
  <si>
    <t>750  ADMINISTRACJA PUBLICZNA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</si>
  <si>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realizację zadań zleconych i powierzonych gminie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</si>
  <si>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wydatki bieżące biura Rady Gminy (diety radnych, przewodniczącego, członków komisji, art. na posiedzenie sesji i komisji, szkolenia, art..biurowe, delegacje, prowizje bankowe)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</si>
  <si>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ZUS i Fundusz Pracy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</si>
  <si>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odpis na zakładowy fundusz socjalny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</si>
  <si>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mebli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</si>
  <si>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odpłatność za pobyt w Domu Pomocy Społecznej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</si>
  <si>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inne: opłacanie przedszkoli, internatów i burs, odzież, czynsz, energia, woda</t>
    </r>
  </si>
  <si>
    <t xml:space="preserve">Rezerwę ogólną zgodnie z uchwałą nr III/15/06 Rady Gminy Kaźmierz z dnia 22.12.2006 r. uchwalono w wysokości 50.000,00 </t>
  </si>
  <si>
    <t>W trakcie 2007 r. kwota rezerwy ulegała zmianie:                                                               * zgodnie z Uchwałą nr VIII/48/07 Rady Gminy Kaźmierz z dnia 21.06.2007 r. została zwiększona o kwotę 50.000,00                                                                                                               * zgodnie z Uchwałą nrXI/59/07 Rady Gminy Kaźmierz z dnia 17.08.2007 r. została zmniejszona o kwotę 35.015,00 z przeznaczeniem na dotację inwestycyjną dla Zakładu Usług Komunalnych                                                                                                                * zgodnie z Uchwałą nr XIII/64/07 Rady Gminy Kaźmierz z dnia 27.09.2007 r. została zwiększona o kwotę 120.000,00                                                                          * zgodnie z Uchwałą nr XVII/93/07 Rady Gminy Kaźmierz z dnia 28.11.2007 r. została zmniejszona o kwotę 134.686,00 z przeznaczeniem na bieżące utrzymanie plaówek oświatowych</t>
  </si>
  <si>
    <t>- przełożenie dachu</t>
  </si>
  <si>
    <t>- zakup węgla i miału</t>
  </si>
  <si>
    <t>- wydatki na zakupy inwestycyjne ( zestaw komputerowy, notbook)</t>
  </si>
  <si>
    <t>- wydatki inwestycyjne ( oświetlenie )</t>
  </si>
  <si>
    <t>- wydatki inwestycyjne ( ogrodzenie )</t>
  </si>
  <si>
    <t>- wydatki na zakupy inwestycyjne ( 2 zestawy komputerowe)</t>
  </si>
  <si>
    <t>- wydatki inwestycyjne ( weryfikacja dokumentacji powykonawczej -budowa gimnazjum,budowa chodnika, kistalacja klap dymnych)</t>
  </si>
  <si>
    <t>- wydatki na zakupy inwestycyjne ( zestaw komputerowy-2.129,00- wózki CHIC na mopy-4.227,44)</t>
  </si>
  <si>
    <t>- zakup art.papierniczych ( papier do drukarek)</t>
  </si>
  <si>
    <t>- wydatki bezosobowe komisji kwalifikacyjnej i egzaminacyjnej powołanej do rozpatrzenia wniosków nauczycieli o wyższy stopień awansu zawodowego</t>
  </si>
  <si>
    <t>- zakup lektur do bibliotek szkolnych szkół podstawowych i gimnazjum</t>
  </si>
  <si>
    <t>- zwrot pracodawcom kosztów przygotowania zawodowego młodocianych pracowników</t>
  </si>
  <si>
    <t>·       wynagrodzenie GKRPA oraz wynagrodzenie osób pracujących w świetlicach ( Chlewiska, Sokolniki Wielkie)</t>
  </si>
  <si>
    <t>·     energia elektryczna i gaz (siedziba GKRPA, świetlica w Chlewiskach)</t>
  </si>
  <si>
    <t>- odsetki kredytowe Umowa Nr 05/1117 o kredyt ze środków Europejskiego Banku Inwestycyjnego na inwestycję pn."Budowa gimnazjum wrza z salą gimnastyczną w Kaźmierzu".</t>
  </si>
  <si>
    <t>- odsetki od pożyczki Umowa Nr 169/P/Po/OW/03 na inwestycję pn."Rozbudowa kanalizacji sanitarnej do istniejącej oczyszczalni ścieków w m.Witkowice gm.Kaźmierz Etap III w miejscowości Bytyń w rejonie drogi do Pólka".</t>
  </si>
  <si>
    <t>- odsetki kredytowe Umowa Nr 12309/2000273/2003 na inwestycję gminne.</t>
  </si>
  <si>
    <t>758  REZERWY OGÓLNE I CELOWE</t>
  </si>
  <si>
    <t>Była przeznaczona na:</t>
  </si>
  <si>
    <t>* pomoc finansową dla Powiatu Szamotulskiego na budowę chodników przy drogach powiatowych - 53.901,00</t>
  </si>
  <si>
    <t>* pomoc finansową dla Powiatu Szamotulskiego na remont drogi powiatowej nr 1866P Pólko-Komorowo - 30.000,00</t>
  </si>
  <si>
    <t>* remont świetlic wiejskich na terenie gminy - 5.779,00</t>
  </si>
  <si>
    <t>* na wykonanie "Projektu założen do planu zaopatrzenia w ciepło, enrgię elektryczną i paliwa gazowe". - 13.700,00</t>
  </si>
  <si>
    <t>* dofinansowanie oświaty z uwagi na zmniejszenie subwencji oświatowej - 96.221,00</t>
  </si>
  <si>
    <t>* budowę drogi dojazdowej do gruntów rolnych Kaźmierz-Kopanina - 300,00</t>
  </si>
  <si>
    <t>801  OŚWIATA I WYCHOWANIE</t>
  </si>
  <si>
    <t>Rozdział  801 Szkoły Podstawowe</t>
  </si>
  <si>
    <t>Szkoła Podstawowa w Kaźmierzu</t>
  </si>
  <si>
    <t>Większość wydatków w tym rozdziale stanowią płace i ich pochodne,</t>
  </si>
  <si>
    <t xml:space="preserve">dodatki specjalne (wiejski i mieszkaniowy), odpis na Fundusz Socjalny </t>
  </si>
  <si>
    <t>Pozostałe wydatki to :</t>
  </si>
  <si>
    <t>- pomoc materialna dla uczniów (wyprawki dla klas I)</t>
  </si>
  <si>
    <t>- zakup materiałów na bieżące potrzeby szkoły</t>
  </si>
  <si>
    <t>- zakup pomocy dydaktycznych i książek</t>
  </si>
  <si>
    <t>- zakup usług dostępu do sieci Internet</t>
  </si>
  <si>
    <t>- koszty energii elektrycznej , gazu i wody</t>
  </si>
  <si>
    <t xml:space="preserve">- usługi remontowe, naprawcze </t>
  </si>
  <si>
    <t>- podróże służbowe</t>
  </si>
  <si>
    <t>- różne opłaty i składki (ubezpieczenie budynków i komputerów)</t>
  </si>
  <si>
    <r>
      <t>Szkoła Podstawowa w Bytyniu</t>
    </r>
    <r>
      <rPr>
        <sz val="12"/>
        <color indexed="12"/>
        <rFont val="Times New Roman"/>
        <family val="1"/>
      </rPr>
      <t xml:space="preserve"> </t>
    </r>
  </si>
  <si>
    <t xml:space="preserve"> Większość  wydatków w tym rozdziale stanowią płace i ich pochodne,</t>
  </si>
  <si>
    <t xml:space="preserve">dodatki specjalne (wiejski i mieszkaniowy) ,odpis na Fundusz Socjalny </t>
  </si>
  <si>
    <t xml:space="preserve">          813,00</t>
  </si>
  <si>
    <t>- olej opałowy</t>
  </si>
  <si>
    <t>- pomoce dydaktyczne i książki</t>
  </si>
  <si>
    <t>- energia, woda</t>
  </si>
  <si>
    <t>- pomoce naukowe, dydaktyczne</t>
  </si>
  <si>
    <t>- energia, woda, gaz</t>
  </si>
  <si>
    <t>Większość  wydatków w tym rozdziale stanowią płace i ich pochodne,</t>
  </si>
  <si>
    <t>- materiały na potrzeby bieżące</t>
  </si>
  <si>
    <t>- energia, woda, CO</t>
  </si>
  <si>
    <t xml:space="preserve">Oddział Przedszkolny w Gaju Wielkim </t>
  </si>
  <si>
    <t>-  płace i ich pochodne, dodatki specjalne (wiejski i mieszkaniowy),</t>
  </si>
  <si>
    <t xml:space="preserve">    odpis na Fundusz Socjalny </t>
  </si>
  <si>
    <t>- zakup materiałów na bieżące potrzeby</t>
  </si>
  <si>
    <t xml:space="preserve">Oddział Przedszkolny w Bytyniu </t>
  </si>
  <si>
    <t>- płace i ich pochodne, dodatki specjalne, odpis na fundusz socjalny</t>
  </si>
  <si>
    <t>- zakup energii, wody i gazu</t>
  </si>
  <si>
    <t>- usługi remontowe</t>
  </si>
  <si>
    <t>- zakup usług pozostałych(usługi telekomunikacyjne, RTV, szkolenia)</t>
  </si>
  <si>
    <t xml:space="preserve">Oddział Przedszkolny wSokolnikach Wielkich </t>
  </si>
  <si>
    <t>Przedszkole Kaźmierzu</t>
  </si>
  <si>
    <t>- zakup pomocy naukowych i dydaktycznych</t>
  </si>
  <si>
    <t>- zakup energii, CO, wody i gazu</t>
  </si>
  <si>
    <t>Pożyczka Umowa Nr 71/P/OW-ks/I/07 na inwestycję pn."Budowa sieci kanalizacji sanitarnej w Piersku"</t>
  </si>
  <si>
    <t>* wiosenne sprzątanie sołectw oraz akcja "Sprzątanie świata 2007"</t>
  </si>
  <si>
    <t xml:space="preserve">* zakup krzewów dla sołectw </t>
  </si>
  <si>
    <t>* zakup tabliczek porządkowych</t>
  </si>
  <si>
    <t>* usunięcie dzikiego wysypiska w m.Chlewiska</t>
  </si>
  <si>
    <t>* publikacja wydawnictwa "Przyroda Gminy Kaźmierz"</t>
  </si>
  <si>
    <t>ZA OKRES OD 01.01.2007 r. DO 31.12.2007 r.</t>
  </si>
  <si>
    <t>Zmiana nr 3 2.08.2007 r.</t>
  </si>
  <si>
    <t>Zmiana nr 4 17.08.2007 r.</t>
  </si>
  <si>
    <t>Zmiana nr 5    31.08.2007 r.</t>
  </si>
  <si>
    <t>Zmiana nr 6       27.09.2007 r.</t>
  </si>
  <si>
    <t>Zmiana nr 7    28.11.2007 r.</t>
  </si>
  <si>
    <t>Zmiana nr 8    28.12.2007 r.</t>
  </si>
  <si>
    <t xml:space="preserve">Wykonanie </t>
  </si>
  <si>
    <t>Dotacja na zakup agregatu prądotwórczego w SUW Piersko</t>
  </si>
  <si>
    <t>Rozdział ten obejmuje wpływy z zakresu: najmu lokali mieszkalnych, użytkowych i pomieszczeń gospodarczych, dzierżawy ogródków przydomowych, świadczonych usług komunalnych (centralne ogrzewnie, podgrzanie wody) oraz refakturowanych kosztów energii. Od 1.08.2007 r. opłaty czynszowe wzrosły o ok.5%.</t>
  </si>
  <si>
    <t>Rozdział ten obejmuje wpływy z tytułu: wywozu nieczystości stałych i płynnych. Od 1.08.2007 r. wzrosły ceny wywozu nieczystości płynnych i stałych o ok. 10%</t>
  </si>
  <si>
    <t>Rozdział obejmuje wpływy z tytułu: przewozu osób, głównie dowozu dzieci do szkół, sprzedaży materiałów służących działalności usługowej, usług wykonywanych przez ekipę na rzecz innych podmiotów tj. usług koszenia trawy, usług w zakresie budowy sieci wodociągowej (w Kaźmierzu: rejon ul.Konopnickiej i Dolnej, ul.Polnej-Reja, ul.Daglezjowej, ul.Jabłoniowej, ul.Poznańskiej, ul.Nowowiejskiej osiedle domów jednorodzinnych; w Radzynach rejon ul.Krańcowej, ul.Leśnej; Dolne Pole-Brzezno i w Komorowie), budowy sieci kanalizacji sanitarnej (rejon ul.Konopnickiej-Dolnej, ul.Spokojna w Kaźmierzu), przyłączy wodociągowo-kanalizacyjnych, remontów, usług wykonywanych koparką JCB oraz budowy chodnika w miejscowości Kaźmierz przy Gimnazjum, przebudowa chodników w miejscowości Kaźmierz: ul.Szkolna przy Szkole Podstawowej, przy ul.Dworcowej, przy Ośrodku Zdrowia.</t>
  </si>
  <si>
    <t>Dotacja celowa na zakup mikrobusa - 73 200,00 zł i ciągnika z osprzętem 170 800,00 zł</t>
  </si>
  <si>
    <t xml:space="preserve">WYDATKI </t>
  </si>
  <si>
    <t>Zmiana nr 6   27.09.2007 r.</t>
  </si>
  <si>
    <t>Zmiana nr 7                28.11.2007 r.</t>
  </si>
  <si>
    <t>Zmiana nr 8                28.12.2007 r.</t>
  </si>
  <si>
    <t xml:space="preserve">- utrzymanie sieci wodociągowych i 3 stacji uzdatniania wody, remont stacji uzdatniania wody w miejscowości Gaj Wielki, badanie analityczne wody, remont pomp wodnych, usuwanie awarii wodociągowych, budowę sieci wodociągowych i przyłączy wodociągowych, dozór techniczy nad zbiornikami ciśnieniowymi, utrzymanie pojazdów, zakup garażu stalowego dla agregatu prądotwórczego, inwentaryzację urządzeń podziemnych i sieci wodociągowych, wykonanie map i projektów sieci wodociągowych, nadzór inwestorski nad budową sieci, wykonanie przecisków pod drogami przy budowie sieci wodociągowych, usługi zdrowotne dla pracowników, szkolenia pracowników, </t>
  </si>
  <si>
    <t>zakupy inwestycyjne ze środków z dotacji celowej:                                   - zakup agregatu prądotwórczego do SUW Piersko</t>
  </si>
  <si>
    <t>- utrzymanie i utwardzanie dróg, utrzymanie pojazdów, zakup niesortowanej mieszanki, najem maszyn i urządzeń służących polepszeniu stanu dróg gminnych, utrzymanie przystanków na terenie gminy, zakup 3 szt. zbiorników 1000 L. do emulsji, zakup tablic informacyjnych, piasku i soli na zimowe utrzymanie dróg</t>
  </si>
  <si>
    <t xml:space="preserve">- bieżące utrzymanie budynków komunalnych, 2 kotłownii, naprawy i konserwacje urządzeń, remont z wymianą stolarki okiennej (7szt.) w pomieszczeniach do rehabilitacji  w budynku Ośrodka Zdrowia w Kaźmierzu, wymiana stolarki okiennej w mieszkaniu przy ul.Głównej 36b w Radzynach (3szt), docieplanie budynku Komendy Policji i Gminnego Ośrodka Pomocy Społecznej w Kaźmierzu, naprawę dachu w budynku przy ul.Dolnej w Kaźmierzu na skutek zniszczeń spowodowanych wichurą, naprawa komina w budynku przy ul.Głównej 38 w Radzynach, wykonanie tynku mineralnego 2 ścian szczytowych w budynku mieszkalnym przy ul.Prusa 5 w Kaźmierzu, zakup materiałów do konserwacji dachu budynku - siedziby ZUK przy ul.Leśnej 11 w Kaźmierzu, </t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</si>
  <si>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kształcenia i rehabilitacji dziecka niepełnosprawnego do 5 roku życia (77 świadczeń)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</si>
  <si>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paliwo dla miejscowej jednostki policji (Umowa z Komendą Wojewódzką Policji  z dnia 05.04.2007 r.)</t>
    </r>
  </si>
  <si>
    <t>a) zaopatrywania gminy w wodę – rozdział 40002</t>
  </si>
  <si>
    <t>b) utrzymania dróg publicznych gminnych – rozdział 60016</t>
  </si>
  <si>
    <t>c) gospodarki mieszkaniowej – rozdział 70005</t>
  </si>
  <si>
    <t>d) gospodarki ściekowa - rozdział 90001</t>
  </si>
  <si>
    <t>e) gospodarki odpadami - rozdział 90003</t>
  </si>
  <si>
    <t>f) utrzymania zieleni na terenie gminy - rozdział 90004</t>
  </si>
  <si>
    <t>g) pozostałej działalności gospodarki komunalnej - rozdział  90095</t>
  </si>
  <si>
    <t xml:space="preserve">      </t>
  </si>
  <si>
    <t>Plan finansowy Zakładu Usług Komunalnych na 2007 r. to:</t>
  </si>
  <si>
    <t>a) przychody</t>
  </si>
  <si>
    <t>- przychody własne</t>
  </si>
  <si>
    <t>- dotacje przedmiotowe z budżetu gminy na finansowanie działalności podstawowej</t>
  </si>
  <si>
    <t>b) wydatki</t>
  </si>
  <si>
    <t>- dotacje przedmiotowe z budżetu gminy na finansowanie działalności podstawowej (wartość netto - bez podatku Vat)</t>
  </si>
  <si>
    <t>0360</t>
  </si>
  <si>
    <t>Podatek od spadków i darowizn</t>
  </si>
  <si>
    <t>Podatek od spadków i darowizn.Wykonanie zgodne z sprawozdaniem Urzędu Skarbowego.</t>
  </si>
  <si>
    <t>0370</t>
  </si>
  <si>
    <t>Podatek od posiadania psów</t>
  </si>
  <si>
    <t>Podatek od posiadania psów. Podatek trudny do wyegzekwowania.</t>
  </si>
  <si>
    <t>0430</t>
  </si>
  <si>
    <t>Wpływy z opłaty targowej</t>
  </si>
  <si>
    <t>0450</t>
  </si>
  <si>
    <t>Wpływy z opłaty administracyjnej za czynności urzędowe</t>
  </si>
  <si>
    <t>5.</t>
  </si>
  <si>
    <t>Gminna Biblioteka Publiczna</t>
  </si>
  <si>
    <t>6.</t>
  </si>
  <si>
    <t>Gminny Ośrodek Kultury</t>
  </si>
  <si>
    <t>z tytułu dostaw towarów i usług</t>
  </si>
  <si>
    <t>należności z tytułu wypłaty zaliczek alimentacyjnych</t>
  </si>
  <si>
    <t>Koszty</t>
  </si>
  <si>
    <t xml:space="preserve">Plan na 2007 rok </t>
  </si>
  <si>
    <t>Plan pozmianach</t>
  </si>
  <si>
    <t>Plan po zmianach 2007</t>
  </si>
  <si>
    <t>Materiały</t>
  </si>
  <si>
    <t>- środki czystości</t>
  </si>
  <si>
    <t>- koszty poniesione na środki czystości</t>
  </si>
  <si>
    <t>- czasopisma, biuletyny, znaczki</t>
  </si>
  <si>
    <t>- koszty zakupu znaczków; prasy (dzienniki, tygodniki, miesięczniki, prasa regionalna) dla biblioteki  i dwóch filii bibliotecznych,</t>
  </si>
  <si>
    <t>- materiały biurowe</t>
  </si>
  <si>
    <t>- pozostałe materiały</t>
  </si>
  <si>
    <t>Zakup książek</t>
  </si>
  <si>
    <t>Energia:</t>
  </si>
  <si>
    <t>- elektrycza</t>
  </si>
  <si>
    <t>- koszty poniesione na zakup energii elektrycznej dla Biblioteki Publicznej i pomieszczeń kinowych</t>
  </si>
  <si>
    <t>- gaz</t>
  </si>
  <si>
    <t>Remonty</t>
  </si>
  <si>
    <t>Usługi:</t>
  </si>
  <si>
    <t>- w zakresie czystości</t>
  </si>
  <si>
    <t>- koszty wywozu nieczystości stałych i płynnych,</t>
  </si>
  <si>
    <t>- telekomunikacyjne</t>
  </si>
  <si>
    <t>DOTACJE GMINY KAŹMIERZ W 2007r.</t>
  </si>
  <si>
    <t>Plan dotacji po zmianach</t>
  </si>
  <si>
    <t>a) wydatki bieżące</t>
  </si>
  <si>
    <t xml:space="preserve">14.355.085,48 zł </t>
  </si>
  <si>
    <t>- wynagrodzenia i pochodne od wynagrodzeń</t>
  </si>
  <si>
    <t>- dotacje</t>
  </si>
  <si>
    <t>6.469.102,82 zł</t>
  </si>
  <si>
    <t>1.286.257,89 zł</t>
  </si>
  <si>
    <t>- wydatki na obsługę długu</t>
  </si>
  <si>
    <t xml:space="preserve">   165.872,38 zł</t>
  </si>
  <si>
    <t>w tym na:</t>
  </si>
  <si>
    <t>b) wydatki majątkowe</t>
  </si>
  <si>
    <r>
      <t>22.515.977,03 zł</t>
    </r>
    <r>
      <rPr>
        <sz val="12"/>
        <rFont val="Times New Roman"/>
        <family val="1"/>
      </rPr>
      <t>, co stanowi 100,47% planu (Zał.nr 1)</t>
    </r>
  </si>
  <si>
    <r>
      <t>17.842.071,99 zł,</t>
    </r>
    <r>
      <rPr>
        <sz val="12"/>
        <rFont val="Times New Roman"/>
        <family val="1"/>
      </rPr>
      <t xml:space="preserve"> co stanowi   88,19% planu (Zał.nr 2)</t>
    </r>
  </si>
  <si>
    <t xml:space="preserve">  3.486.986,51 zł, co stanowi 74,30% planu  (Zał.nr 5)</t>
  </si>
  <si>
    <r>
      <t>6.</t>
    </r>
    <r>
      <rPr>
        <sz val="12"/>
        <rFont val="Times New Roman"/>
        <family val="1"/>
      </rPr>
      <t xml:space="preserve"> Sprawozdanie z przebiegu wykonania budżetu w 2007 roku jednostek, które utworzyły rachunki dochodów własnych przedstawia zał.nr 6</t>
    </r>
  </si>
  <si>
    <r>
      <t>7.</t>
    </r>
    <r>
      <rPr>
        <sz val="12"/>
        <rFont val="Times New Roman"/>
        <family val="1"/>
      </rPr>
      <t xml:space="preserve"> Sprawozdanie z przebiegu wykonania budżetu Zakładu Usług Komunalnych w Kaźmierzu w  2007 roku przedstawia zał.nr 7</t>
    </r>
  </si>
  <si>
    <r>
      <t>8.</t>
    </r>
    <r>
      <rPr>
        <sz val="12"/>
        <rFont val="Times New Roman"/>
        <family val="1"/>
      </rPr>
      <t xml:space="preserve"> Zestawienie zobowiązań i należności na dzień 31.12.2007 r. przedstawia zał.nr 8</t>
    </r>
  </si>
  <si>
    <r>
      <t xml:space="preserve">9. </t>
    </r>
    <r>
      <rPr>
        <sz val="12"/>
        <rFont val="Times New Roman"/>
        <family val="1"/>
      </rPr>
      <t>Plan przychodów i kosztów Gminnej  Biblioteki  Publicznej  w  Kaźmierzu,  jego zmiany i wykonanie na dzień 31.12.2007 r. zał.nr 9</t>
    </r>
  </si>
  <si>
    <r>
      <t xml:space="preserve">10. </t>
    </r>
    <r>
      <rPr>
        <sz val="12"/>
        <rFont val="Times New Roman"/>
        <family val="1"/>
      </rPr>
      <t>Plan przychodów i kosztów  Gminnego  Ośrodka  Kultury  w  Kaźmierzu,  jego zmiany i wykonanie na dzień 31.12.2007 r. zał.nr 10</t>
    </r>
  </si>
  <si>
    <t>- przeprowadzenie wyborów do Sejmu RP i Senatu RP zarządzonych na dzień 21 października 2007 r.</t>
  </si>
  <si>
    <r>
      <t>·</t>
    </r>
    <r>
      <rPr>
        <sz val="7"/>
        <rFont val="Times New Roman"/>
        <family val="1"/>
      </rPr>
      <t>       </t>
    </r>
    <r>
      <rPr>
        <sz val="12"/>
        <rFont val="Times New Roman"/>
        <family val="1"/>
      </rPr>
      <t>programy profilaktyczne:"Zachowaj Trzeźwy Umysł", "Życie bez nałogów"</t>
    </r>
  </si>
  <si>
    <t>* zakup bażantów na zasiedlenie na terenie gminy Kaźmierz</t>
  </si>
  <si>
    <t>Korekta 2                       z dnia 20.12.2005 r.</t>
  </si>
  <si>
    <t>Plan na 2006 rok po zmianach</t>
  </si>
  <si>
    <t>Zmiana nr 1</t>
  </si>
  <si>
    <t>Plan po zmianie nr 1</t>
  </si>
  <si>
    <t>Zmiana nr 2</t>
  </si>
  <si>
    <t>Wykonanie planu na dzień 31.03.2006 r.</t>
  </si>
  <si>
    <t>% wykonania planu</t>
  </si>
  <si>
    <t>Pozostało do wykorzystania na dzień 31.03.2006</t>
  </si>
  <si>
    <t>Wykonanie planu na dzień 30.06.2006 r.</t>
  </si>
  <si>
    <t>Pozostało do wykorzystania na dzień 30.06.2006</t>
  </si>
  <si>
    <t>Opis - wykonanie VI 2006</t>
  </si>
  <si>
    <t>Wykonanie planu na dzień 30.09.2006 r.</t>
  </si>
  <si>
    <t>Pozostało do wykorzystania na dzień 30.09.2006</t>
  </si>
  <si>
    <t>Pozostało do wykorzystania na dzień 31.12.2006</t>
  </si>
  <si>
    <t>na dzień 30.09.2006</t>
  </si>
  <si>
    <t>na dzień 31.12.2006</t>
  </si>
  <si>
    <t>na dzień 31.03.2006</t>
  </si>
  <si>
    <t>na dzień 30.06.2006</t>
  </si>
  <si>
    <t>Materiały:</t>
  </si>
  <si>
    <t>środki czystości</t>
  </si>
  <si>
    <t>materiały gospodarcze, remontowe</t>
  </si>
  <si>
    <t>- koszty poniesione na materiały: gospodarcze, eksploatacyjne budynku GOK, remontowe toalet i instalacji sanitarnej, malarskie (sala GOK)</t>
  </si>
  <si>
    <t>materiały biurowe</t>
  </si>
  <si>
    <t>- koszty poniesone na materiały biurowe,  artykuły na zajęcia na ferie zimowe, kółko dziennikarskie</t>
  </si>
  <si>
    <t>inne materiały</t>
  </si>
  <si>
    <t>- koszty poniesione na reprezentację: artykuły spożywcze, nagrody dla dzieci uczestniczących w konkursach, kwiaty                                                       - wymiana przepływowego podgrzewacza wody w toalecie,                                                                - wymiana aparatu telefonicznego na bezprzewodowy</t>
  </si>
  <si>
    <t>Energia</t>
  </si>
  <si>
    <t xml:space="preserve">- koszty poniesione na zakup energii elektrycznej dla GOK </t>
  </si>
  <si>
    <t>Woda</t>
  </si>
  <si>
    <t>- koszty zakupu gazu propan-butan w butlach dla potrzeb kuchni w GOK</t>
  </si>
  <si>
    <t>Usługi transportowe</t>
  </si>
  <si>
    <t>Załącznik do pisma Ministra Finansów z dnia 11.10.2006 r., znak ST3-4820-25/2006 i załącznik do pisma Ministra Finansów z dnia 12.02.2007 r., znak ST3-4820-3/2007</t>
  </si>
  <si>
    <t>0020</t>
  </si>
  <si>
    <t>Podatek dochodowy od osób prawnych</t>
  </si>
  <si>
    <t xml:space="preserve">Udział Gminy w podatku dochodowym od osób prawnych. Wykonanie zgodne z sprawozdaniem Urzędu Skarbowego. </t>
  </si>
  <si>
    <t>Różne rozliczenia</t>
  </si>
  <si>
    <t>Część oświatowa subwencji ogólnej dla samorządu terytorialnego</t>
  </si>
  <si>
    <t>Subwencje ogólne z budżetu państwa</t>
  </si>
  <si>
    <t>Część wyrównawcza subwencji ogólnej dla gmin</t>
  </si>
  <si>
    <t>Różne rozliczenia finansowe</t>
  </si>
  <si>
    <t xml:space="preserve">Środki z kapitalizacji odsetek na kontach bankowych. </t>
  </si>
  <si>
    <t>Część równoważąca subwencji ogólnej dla gmin</t>
  </si>
  <si>
    <t>Oświata i wychowanie</t>
  </si>
  <si>
    <t>Szkoły podstawowe</t>
  </si>
  <si>
    <t>Dochody z tytułu wynajmu sali gimnastycznej, odszkodowanie za zerwany dach w Szkole Podstawowej (polisa TUW CONCORDIA)</t>
  </si>
  <si>
    <t>Dotacje celowe przekazane z budżetu państwa na realizację własnych zadań bieżących gmin</t>
  </si>
  <si>
    <t xml:space="preserve">Przedszkola </t>
  </si>
  <si>
    <t>0830</t>
  </si>
  <si>
    <t>Wpływy z usług</t>
  </si>
  <si>
    <t>Opłaty za przedszkole</t>
  </si>
  <si>
    <t>Refundacja służby zastępczej</t>
  </si>
  <si>
    <t>Gimnazja</t>
  </si>
  <si>
    <t>Środki na dofinasowanie własnych inwestycji gmin pozyskane z innych źródeł</t>
  </si>
  <si>
    <t>Środki z Europejskiego Funduszu Rozwoju Regionalnego na realizację projektu "Budowa gimnazjum wraz z salą gimnastyczną w Kaźmierzu" nr Z/2.30/III/3.5.1/346/04 (ostatnia transza.)</t>
  </si>
  <si>
    <t>Dotacje celowe otrzymane z budżetu państwa na realizację inwestycji i zakupów inwestycyjnych własnych gmin</t>
  </si>
  <si>
    <t>Dotacja celowa z budżetu państwa na realizację projektu "Budowa gimnazjum wraz z salą gimnastyczną w Kaźmierzu" nr Z/2.30/III/3.5.1/346/04 (pismo  Wojewody Wielkopolskiego, znak FB.I-6.3011-7/07 z dnia 10.01.2007 r.)</t>
  </si>
  <si>
    <t>Dowożenie uczniów</t>
  </si>
  <si>
    <t>Zespoły obsługi ekonomiczno-administracyjnej szkół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</si>
  <si>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zasiłki stałe – 84 świadczenia dla 7 rodzin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</si>
  <si>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zasiłek okresowy - 146 świadczeń dla 26 rodzin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</si>
  <si>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składka na ubezpieczenie zdrowotne – 71 świadczeń dla 6 rodzin</t>
    </r>
  </si>
  <si>
    <t>Pomocą objęto 33 rodziny i wypłacono 301 świadczeń, w tym na:</t>
  </si>
  <si>
    <t>Pomocą objęto 167 osób w tym na:</t>
  </si>
  <si>
    <t>- naprawa instalacji sanitarnej, docieplenie ściany w toalecie GOK,                                                                          - naprawa ogrzewania elektrycznego, wymiana wyłącznika oświetlenia w kuchni i gab. GOK                                                                                           - naprawa telewizora, szafy chłodniczej</t>
  </si>
  <si>
    <t>Wywóz nieczystości</t>
  </si>
  <si>
    <t>- koszty wywozu nieczystości stałych i płynnych</t>
  </si>
  <si>
    <t>Wynajem lokalu</t>
  </si>
  <si>
    <t>- koszty najmu budynku GOK</t>
  </si>
  <si>
    <t>Abonament i rozmowy telefoniczne</t>
  </si>
  <si>
    <t>- koszty abonamentu i rozmów telefonicznych</t>
  </si>
  <si>
    <t>Usługi pocztowe</t>
  </si>
  <si>
    <t>- koszty opłat pocztowych</t>
  </si>
  <si>
    <t>Usługi drukarskie</t>
  </si>
  <si>
    <t>Składki na ubezpieczenie zdrowotne opłacane za osoby pobierające niektóre świadczenia z pomocy społecznej oraz niektóre świadczenia rodzinne</t>
  </si>
  <si>
    <t>Dotacja na składki na ubezpieczenie zdrowotne (pisma Wojewody Wielkopolskiego z dnia 23.10.2006 r., znak FB.I-3.3010-28/06 i z dnia 19.02.2007 r., znak FB.I-2.3010-6/07)</t>
  </si>
  <si>
    <t>Zasiłki i pomoc w naturze oraz składki na ubezpieczenia emerytalne i rentowe</t>
  </si>
  <si>
    <t>Ośrodki pomocy społecznej</t>
  </si>
  <si>
    <t xml:space="preserve">Dotacja na utrzymanie Gminnego Ośrodka Pomocy Społecznej (pisma Wojewody Wielkopolskiego z dnia 23.10.2006 r., znak FB.I-3.3010-28/06 i z dnia 19.02.2007 r., znak FB.I-2.3010-6/07) </t>
  </si>
  <si>
    <t>Kapitalizacja odsetek na koncie bankowym GOPS</t>
  </si>
  <si>
    <t>Usuwanie skutków klęsk żywiołowych</t>
  </si>
  <si>
    <t>Edukacyjna opieka wychowawcza</t>
  </si>
  <si>
    <t>Wykonanie dochodów/wydatków w 2007 roku.</t>
  </si>
  <si>
    <t>Plan dochodów/wydatków w 2007 roku.</t>
  </si>
  <si>
    <t>Wydatki na pomoc finansową  udzielaną między jednistkami samorządu terytorialnego na dofinansowanie własnych zadań inwestycyjnych i zakupów inwestycyjnych.</t>
  </si>
  <si>
    <t>Różne rozliczenia finasowe</t>
  </si>
  <si>
    <t xml:space="preserve">Różne jednostki obsługi gospodarki mieszkaniowej </t>
  </si>
  <si>
    <t xml:space="preserve">Dotacja przedmiotowa z budżetu dla zakładu budżetowego </t>
  </si>
  <si>
    <t>Dotacje celowe otrzymane z budżetu na finansowanie lub dofinansowanie kosztów realizacji inwestycji i zakupów inwestycyjnych zakładów budżetowych</t>
  </si>
  <si>
    <t>Wydatki na zakupy inwestycyjne jednostek budżetowych</t>
  </si>
  <si>
    <t>Działalność usługowa</t>
  </si>
  <si>
    <r>
      <t xml:space="preserve">1. Dotacja na pokrycie kosztów udzielania edukacyjnej pomocy stypendialnej dla uczniów o charakterze socjalnym, zgodnie z art..90d ustawy o systemie oświaty </t>
    </r>
    <r>
      <rPr>
        <b/>
        <sz val="8"/>
        <rFont val="Times New Roman CE"/>
        <family val="0"/>
      </rPr>
      <t>29.979,84</t>
    </r>
    <r>
      <rPr>
        <sz val="8"/>
        <rFont val="Times New Roman CE"/>
        <family val="0"/>
      </rPr>
      <t xml:space="preserve"> (pismo Wojewody Wielkopolskiego z  dn.16.04.2007r., znak FB.I-3.3011-177/07, z dn.18.10.2007 r., znak FB.I-6.3011-571/07, z dn.26.10.2007 r., znak FB.I-6.3011-592/07)                                                                                  2. Dotacja na dofinansowanie jednolitego stroju dla uczniów szjół podstawowych i gimnazjów </t>
    </r>
    <r>
      <rPr>
        <b/>
        <sz val="8"/>
        <rFont val="Times New Roman CE"/>
        <family val="0"/>
      </rPr>
      <t>10.194,90</t>
    </r>
    <r>
      <rPr>
        <sz val="8"/>
        <rFont val="Times New Roman CE"/>
        <family val="0"/>
      </rPr>
      <t xml:space="preserve"> ( pisma Wojewody Wielkopolskiego z dnia 21.08.2007 r., znak FB.I-3.3011-400/07, z dnia 18.10.2007 r., znak FB.I-6.3011-510/07, z dnia 26.10.2007 r., znak FB.I-6.3011-618/07).                                                                                       3. Dotacja na pomoc materialną o charakterze edukacyjnym </t>
    </r>
    <r>
      <rPr>
        <b/>
        <sz val="8"/>
        <rFont val="Times New Roman CE"/>
        <family val="0"/>
      </rPr>
      <t>55.678,51</t>
    </r>
    <r>
      <rPr>
        <sz val="8"/>
        <rFont val="Times New Roman CE"/>
        <family val="0"/>
      </rPr>
      <t xml:space="preserve"> (pismo Wojewody Wielkopolskiego z dnia 17.09.2007 r., znak FB.I-6.3011-485/07)</t>
    </r>
  </si>
  <si>
    <t xml:space="preserve">Wpływ z opłaty produktowej </t>
  </si>
  <si>
    <t>Struktura dochodów                                                                                         za okres od 01.01.2007r. –31.12.2007r.</t>
  </si>
  <si>
    <t>Uchwała nr ______ Rady Gminy Kaźmierz z dn.13.10.2007</t>
  </si>
  <si>
    <t>Uchwała nr        Rady Gminy Kaźmierz z dn.28.12.2007</t>
  </si>
  <si>
    <t>Struktura wydatków za okres  od 01.01.2007 r. – 31.12.2007 r.</t>
  </si>
  <si>
    <t>(konserwacja rowów:S-51w Kopaninie, S-68 w Sierpówku, S8a-5 w Gaju Wielkim, S8a-7 w Stramnicy, Bt-7 z oczyszczalni w m.Witkowice, S-51 w Sokolnikach Małych,Bt 13-2, Bt-13-1 w Sokolnikach Wielkich, Bt-4 w Gorszewicach, S-31-4, S-31-4-1, S-31-4-1a, S-31-4-1b, Bt-13-a rej.Wierzchaczewa i Sokolnik Wielkich, konserwacja drenowania w Wierzchaczewie, Gorszewicach, w rej.Gaju Wielkiego i Sramnicy, konserwacja rurociągu deszczowego w Chlewiskach oraz czyszczenie kanalizacji w Chlewiskach, w Kaźmierzu)</t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</si>
  <si>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>budowę sieci wodociągowej  w Kaźmierzu ul.Jabłoniowa</t>
    </r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</si>
  <si>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>budowę sieci wodociągowej  w Kaźmierzu ul.Poznańska</t>
    </r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</si>
  <si>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>budowę sieci wodociągowej w m.Komorowo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</si>
  <si>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dotacje inwestycyjna dla Zakładu Usług Komunalnych w Kaźmierzu na zakup sprzętu (zgodnie z Uchwałą Nr X/54/07 Rady Gminy Kaźmierz z dn.02.08.2007r. i Nr XI/59/07 Rady Gminy Kaźmierz z dn.17.08.2007r)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</si>
  <si>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wykup działek w  Kaźmierzu  nr 476/3, 464/15,201/8, 1500/2, 119/1, 65/36, 65/40, 65/47, 491/1, 490/01, 57/4, 57/10, 1199/8, 1199/12, 1199/19, 113/1, 113/9, 11313, 113/17, 1170/1, 1170/5, w Piersku nr2/53, 2/52, 2/42, 2/60, 2/48,2/71, 2/72, 2/73, 2/74, 2/75, w Radzynach nr 11/3, 11/12, 11/13, 11/19, w Kopaninie 37/57, 37/24, 37/2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</si>
  <si>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wykup sieci wodno - kanalizacyjnej w Kaźmierzu</t>
    </r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</si>
  <si>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>wykonanie ewidencji dróg</t>
    </r>
  </si>
  <si>
    <t>- ogłoszenie w sprawie miejscowego planu zagospodarowania przestrzennego w m.Radzyny</t>
  </si>
  <si>
    <t>- aktualizacja studium zagospodarowania przestrzennego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</si>
  <si>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współpraca z gminą litewską Ejszyszki, gminą Bystrzyca Kłodzka i Ujście</t>
    </r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</si>
  <si>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>druk  wydawnictw o Gminie Kaźmierz</t>
    </r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</si>
  <si>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>pomoc finansowa dla Miasta Poznań na zadanie pn."Budowa Pomnika Polskiego Państwa Podziemnego i Armii Krajowej"</t>
    </r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</si>
  <si>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>dyktafon</t>
    </r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</si>
  <si>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>witryna z nadstawką do Sali sesyjnej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</si>
  <si>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wykonanie projektu modernizacji budynku Urzędu Gminy</t>
    </r>
  </si>
  <si>
    <t>w tym wydatki na zakupy inwestycyjne</t>
  </si>
  <si>
    <t>Szczegółowe dane przedstawiają załączniki nr 1 i 2.</t>
  </si>
  <si>
    <t>Plan</t>
  </si>
  <si>
    <t>Zmiana nr 1 2.03.2007 r.</t>
  </si>
  <si>
    <t>Zmiana nr 2          22.05.2007 r.</t>
  </si>
  <si>
    <t>Plan po zmianach</t>
  </si>
  <si>
    <t>Wykonanie</t>
  </si>
  <si>
    <t xml:space="preserve">Opis </t>
  </si>
  <si>
    <t>Wytwarzanie i zaopatrywanie w energię elektryczną, gaz i wodę</t>
  </si>
  <si>
    <t>Dostarczanie wody</t>
  </si>
  <si>
    <t>2650</t>
  </si>
  <si>
    <t>Dotacja przedmiotowa z budżetu</t>
  </si>
  <si>
    <t>Rozdział ten nie jest działem dochodowym, w całości finansowany jest z dotacji przedmiotowej z budżetu.</t>
  </si>
  <si>
    <t>Wpływ z różnych dochodów</t>
  </si>
  <si>
    <t>Oczyszczanie miast i wsi</t>
  </si>
  <si>
    <t>Dział</t>
  </si>
  <si>
    <t xml:space="preserve">Plan </t>
  </si>
  <si>
    <t>Opis</t>
  </si>
  <si>
    <t>Wytwarzanie i zaopatrywanie w energię, gaz, wodę</t>
  </si>
  <si>
    <t xml:space="preserve">Koszty w tym rozdziale zostały poniesione na: </t>
  </si>
  <si>
    <t>Wydatki osobowe nie zaliczone do wynagrodzeń-"BHP"</t>
  </si>
  <si>
    <t>- wynagrodzenia wraz z pochodnymi od wynagrodzeń  pracowników zatrudnionych na umowę o pracę i inne świadczenia na rzecz pracowników objęte przepisami BHP,</t>
  </si>
  <si>
    <t>Dodatkowe wynagrodzenie roczne</t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</si>
  <si>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>budowę sieci wodociągowej  w Kaźmierzu rej. ul.Gołębiej</t>
    </r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</si>
  <si>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>budowę sieci wodociągowej  w Kaźmierzu rej.ul.Polna-Reja</t>
    </r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</si>
  <si>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>budowę sieci wodociągowej w m.Radzyny ul.Krańcowa 1 - 3</t>
    </r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</si>
  <si>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>budowę sieci wodociągowej w m.Bytyń-Tartak</t>
    </r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</si>
  <si>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>budowę sieci wodociągowej w m.Radzyny Chrusty</t>
    </r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</si>
  <si>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>budowę sieci wodociągowej Dolne Pole - Brzezno</t>
    </r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</si>
  <si>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>budowę sieci wodociągowej  w Kaźmierzu ul.Nowowiejska</t>
    </r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</si>
  <si>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>modernizacja SUW w m.Gaj Wielki</t>
    </r>
  </si>
  <si>
    <t>-     budowa sieci kanalizacji sanitarnej w m.Piersko</t>
  </si>
  <si>
    <t>-     budowa sieci kanalizacji sanitarnej - układ Kaźmierz - Kiączyn</t>
  </si>
  <si>
    <t>-     budowa sieci kanalizacji sanitarnej w m.Kaźmierz rej.ul.Dolnej i Konopnickiej</t>
  </si>
  <si>
    <t>-     budowa sieci kanalizacji sanitarnej w m.Kaźmierz rej.ul.Poznańskiej i Dolnej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</si>
  <si>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odpis na Izby Rolnicze za rok 2007 </t>
    </r>
  </si>
  <si>
    <t>-      koszty organizacj Dożynek Powiatowych 2007</t>
  </si>
  <si>
    <t>-     cięcie i pielęgnacja drzew na terenie gminy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</si>
  <si>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nawozu na tereny zieleni oraz krzewy dla sołectwa Chlewiska i Sokolniki Wielkie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</si>
  <si>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pomoc finansową dla Powiatu Szamotulskiego na przebudowę drogi powiatowej nr 1868P Otorowo-Bytyń w m.Bytyń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</si>
  <si>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pomoc finansową dla Powiatu Szamotulskiego na remont drogi powiatowej nr 1868P Otorowo-Bytyń na odcinku Pólko-Piersko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</si>
  <si>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budowę drogi osiedlowej w Kaźmierzu w rej.ul.Nowowiejskiej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</si>
  <si>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budowę chodnika w Kaźmierzu w rej.ul.Dworcowej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</si>
  <si>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budowę chodnika w Kaźmierzu w rej.ul.Reja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</si>
  <si>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ścinka poboczy na drogach leżących na terenie gminy Kaźmierz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</si>
  <si>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dotacje przedmiotową dla Zakładu Usług Komunalnych w Kaźmierzu (zgodnie z Uchwałą nr III/19/06 Rady Gminy Kaźmierz z dn. 22.12.2006, zmienionej Uchwała Nr V/26/07 Rady Gminy Kaźmierz z dn.02.03.2007 r.)</t>
    </r>
  </si>
  <si>
    <t>Uchwała nr XIII/64/07 Rady Gminy Kaźmierz z dn.27.09.2007</t>
  </si>
  <si>
    <t>Uchwała nr ____ Rady Gminy Kaźmierz z dn.13.10.2007</t>
  </si>
  <si>
    <t>Uchwała nr XVII/93/07 Rady Gminy Kaźmierz z dn.28.11.2007</t>
  </si>
  <si>
    <t>Uchwała nr      Rady Gminy Kaźmierz z dn.28.12.2007</t>
  </si>
  <si>
    <t>Wpływy z tytułu pomocy finansowej udzielanej między jednostkami samorządu terytorialnego na dofinansowanie własnych zadań bieżących</t>
  </si>
  <si>
    <t>0870</t>
  </si>
  <si>
    <t>Wpływy ze sprzedaży składników majątkowych</t>
  </si>
  <si>
    <t>Uzupełnienie subwencji ogólnej dla jednostek samorządu terytorialnego</t>
  </si>
  <si>
    <t>Środki na uzupełnienie dochodów gmin</t>
  </si>
  <si>
    <t>Wpływy do budżetu nadwyżki środków obrotowych zakładu budżetowego</t>
  </si>
  <si>
    <t>Dochody za dzierżawę polnych obwodów łowieckich</t>
  </si>
  <si>
    <t>Dotacja celowa na rok 2007 przeznaczona na zwrot podatku akcyzowego zawartego w cenie oleju napędowego wykorzystywanego do produkcji rolnej przez producentów rolnych oraz na pokrycie kosztów postępowania w sprawie jego zwrotu poniesionych przez gminę (pisma Wojewody Wielkopolskiego, znak FB.I-3.3011-236/07 z dnia 10.05.2007r.i  FB.I-5.3011-591/07 z dnia 25.10.2007 r.)</t>
  </si>
  <si>
    <t>Udział starostwa powiatowego i gmin powiatu szamotulskiego w organizacji Dożynek Powiatowych 2007 r.</t>
  </si>
  <si>
    <t>Środki z Województwa Wielkopolskiego na budowę drogi dojazdowej do gruntów rolnych Gaj Wielki-Stramnica (Umowa dofinansowania nr 136/2007 ze środków finansowych Funduszu Ochrony Gruntów Rolnych z dnia 23.04.2007 r.)</t>
  </si>
  <si>
    <r>
      <t xml:space="preserve">Opłaty za grunty oddane w użytkowanie wieczyste </t>
    </r>
    <r>
      <rPr>
        <b/>
        <sz val="8"/>
        <rFont val="Times New Roman CE"/>
        <family val="0"/>
      </rPr>
      <t>30.468,84</t>
    </r>
    <r>
      <rPr>
        <sz val="8"/>
        <rFont val="Times New Roman CE"/>
        <family val="1"/>
      </rPr>
      <t xml:space="preserve"> i  trwały zarząd </t>
    </r>
    <r>
      <rPr>
        <b/>
        <sz val="8"/>
        <rFont val="Times New Roman CE"/>
        <family val="0"/>
      </rPr>
      <t>17.316,07,00                                                                                            Zaległości : -</t>
    </r>
    <r>
      <rPr>
        <sz val="8"/>
        <rFont val="Times New Roman CE"/>
        <family val="0"/>
      </rPr>
      <t xml:space="preserve"> wieczyste użytkowanie</t>
    </r>
    <r>
      <rPr>
        <b/>
        <sz val="8"/>
        <rFont val="Times New Roman CE"/>
        <family val="0"/>
      </rPr>
      <t xml:space="preserve"> 3.189,27</t>
    </r>
  </si>
  <si>
    <r>
      <t xml:space="preserve">Za dzierżawę gruntów rolnych </t>
    </r>
    <r>
      <rPr>
        <b/>
        <sz val="8"/>
        <rFont val="Times New Roman CE"/>
        <family val="0"/>
      </rPr>
      <t>20.753,65</t>
    </r>
    <r>
      <rPr>
        <sz val="8"/>
        <rFont val="Times New Roman CE"/>
        <family val="1"/>
      </rPr>
      <t xml:space="preserve">, gruntów pod garażem </t>
    </r>
    <r>
      <rPr>
        <b/>
        <sz val="8"/>
        <rFont val="Times New Roman CE"/>
        <family val="0"/>
      </rPr>
      <t>199,50</t>
    </r>
    <r>
      <rPr>
        <sz val="8"/>
        <rFont val="Times New Roman CE"/>
        <family val="1"/>
      </rPr>
      <t xml:space="preserve">, gruntów pod wieżą telefonii komórkowej </t>
    </r>
    <r>
      <rPr>
        <b/>
        <sz val="8"/>
        <rFont val="Times New Roman CE"/>
        <family val="0"/>
      </rPr>
      <t>39.889,04</t>
    </r>
    <r>
      <rPr>
        <sz val="8"/>
        <rFont val="Times New Roman CE"/>
        <family val="1"/>
      </rPr>
      <t xml:space="preserve">,  za najem lokali użytkowych </t>
    </r>
    <r>
      <rPr>
        <b/>
        <sz val="8"/>
        <rFont val="Times New Roman CE"/>
        <family val="0"/>
      </rPr>
      <t xml:space="preserve">13.067,24, </t>
    </r>
    <r>
      <rPr>
        <sz val="8"/>
        <rFont val="Times New Roman CE"/>
        <family val="0"/>
      </rPr>
      <t>inne</t>
    </r>
    <r>
      <rPr>
        <b/>
        <sz val="8"/>
        <rFont val="Times New Roman CE"/>
        <family val="0"/>
      </rPr>
      <t xml:space="preserve"> 17.582,91</t>
    </r>
  </si>
  <si>
    <r>
      <t>1.</t>
    </r>
    <r>
      <rPr>
        <sz val="8"/>
        <rFont val="Times New Roman CE"/>
        <family val="1"/>
      </rPr>
      <t xml:space="preserve"> Raty za wykup mieszkań i budynków </t>
    </r>
    <r>
      <rPr>
        <b/>
        <sz val="8"/>
        <rFont val="Times New Roman CE"/>
        <family val="0"/>
      </rPr>
      <t>12.283,80</t>
    </r>
    <r>
      <rPr>
        <sz val="8"/>
        <rFont val="Times New Roman CE"/>
        <family val="1"/>
      </rPr>
      <t xml:space="preserve"> , sprzedaż nieruchomości </t>
    </r>
    <r>
      <rPr>
        <b/>
        <sz val="8"/>
        <rFont val="Times New Roman CE"/>
        <family val="0"/>
      </rPr>
      <t>1.867.148,00</t>
    </r>
    <r>
      <rPr>
        <sz val="8"/>
        <rFont val="Times New Roman CE"/>
        <family val="1"/>
      </rPr>
      <t xml:space="preserve"> (dz.468/3, 471/7, 543/2 w Kaźmierzu 5.000,00, dz193/1, 181,170, 171, 172, 173, 182, 189, 190, 175, 179, 178, 180, 188  w Kopaninie 2.000,00, dz.43/1 w Gaju Wielkim)                                                                                             </t>
    </r>
    <r>
      <rPr>
        <b/>
        <sz val="8"/>
        <rFont val="Times New Roman CE"/>
        <family val="0"/>
      </rPr>
      <t>2.</t>
    </r>
    <r>
      <rPr>
        <sz val="8"/>
        <rFont val="Times New Roman CE"/>
        <family val="1"/>
      </rPr>
      <t xml:space="preserve"> Na koniec 2007 wystąpiła zaległość w sprzedaży ratalnej na kwotę </t>
    </r>
    <r>
      <rPr>
        <b/>
        <sz val="8"/>
        <rFont val="Times New Roman CE"/>
        <family val="0"/>
      </rPr>
      <t>4.228,98</t>
    </r>
    <r>
      <rPr>
        <sz val="8"/>
        <rFont val="Times New Roman CE"/>
        <family val="1"/>
      </rPr>
      <t xml:space="preserve"> .                                                                                             </t>
    </r>
  </si>
  <si>
    <r>
      <t xml:space="preserve">Sprzedaż sieci gazowej </t>
    </r>
    <r>
      <rPr>
        <b/>
        <sz val="8"/>
        <rFont val="Times New Roman CE"/>
        <family val="0"/>
      </rPr>
      <t>1.850.000,00</t>
    </r>
    <r>
      <rPr>
        <sz val="8"/>
        <rFont val="Times New Roman CE"/>
        <family val="1"/>
      </rPr>
      <t xml:space="preserve"> oraz sprzętu medycznego </t>
    </r>
    <r>
      <rPr>
        <b/>
        <sz val="8"/>
        <rFont val="Times New Roman CE"/>
        <family val="0"/>
      </rPr>
      <t>4.940,00</t>
    </r>
  </si>
  <si>
    <r>
      <t xml:space="preserve">Opłaty za druki, specyfikacje do przetargów </t>
    </r>
    <r>
      <rPr>
        <b/>
        <sz val="8"/>
        <rFont val="Times New Roman CE"/>
        <family val="0"/>
      </rPr>
      <t>26,00</t>
    </r>
    <r>
      <rPr>
        <sz val="8"/>
        <rFont val="Times New Roman CE"/>
        <family val="1"/>
      </rPr>
      <t>, inne opłaty</t>
    </r>
    <r>
      <rPr>
        <b/>
        <sz val="8"/>
        <rFont val="Times New Roman CE"/>
        <family val="0"/>
      </rPr>
      <t xml:space="preserve"> 1.340,00</t>
    </r>
  </si>
  <si>
    <r>
      <t xml:space="preserve">Refundacja programu Szwajcarski Zegarek </t>
    </r>
    <r>
      <rPr>
        <b/>
        <sz val="8"/>
        <rFont val="Times New Roman CE"/>
        <family val="0"/>
      </rPr>
      <t>14.209,72</t>
    </r>
    <r>
      <rPr>
        <sz val="8"/>
        <rFont val="Times New Roman CE"/>
        <family val="1"/>
      </rPr>
      <t xml:space="preserve">, rozliczenie z lat ubiegłych  </t>
    </r>
    <r>
      <rPr>
        <b/>
        <sz val="8"/>
        <rFont val="Times New Roman CE"/>
        <family val="0"/>
      </rPr>
      <t>3.472,05</t>
    </r>
  </si>
  <si>
    <t>Dotacja na zadania zlecone związane z przygotowaniem i przeprowadzeniem wyborów do Sejmu RP i Senatu RP zarządzonych na dzień 21 października 2007 r. ( pisma Krajowego Biura Wyborczego Delegatura w Pile z dnia 19.09.2007r., znak DPL 3101-20/07, z dnia 03.10.2007 r., znak DPL 3101-23/07 z dnia 05.10.2007 r.,znak DPL 3101-25/07).</t>
  </si>
  <si>
    <t>Dotacja na zadania bieżące z zakresu administracji rządowej (pisma Wojewody Wielkopolskiego z dnia 23.10.2006 r., znak FB.I-3.3010-28/06, z dnia 19.02.2007 r., znak FB.I-2.3010-6/07, z dnia 08.10.2007 r., znak FB.I-3.3011-501/07)</t>
  </si>
  <si>
    <t>Dotacja na zakup komputera dla gminnej formacji obrony cywilnej (pisma Wojewody Wielkopolskiego z dnia 23.10.2006 r., znak FB.I-3.3010-28/06 i z dnia 19.02.2007 r., znak FB.I-2.3010-6/07)</t>
  </si>
  <si>
    <r>
      <t>Zaległości</t>
    </r>
    <r>
      <rPr>
        <sz val="8"/>
        <rFont val="Times New Roman CE"/>
        <family val="1"/>
      </rPr>
      <t xml:space="preserve"> - 3.637,60                                                                    Wystawiono  11 upomnień na kwotę 28.019,00</t>
    </r>
  </si>
  <si>
    <r>
      <t>Zaległości</t>
    </r>
    <r>
      <rPr>
        <sz val="8"/>
        <rFont val="Times New Roman CE"/>
        <family val="1"/>
      </rPr>
      <t xml:space="preserve"> -3.848,50                                                                                              Wystawiono 8 upomnienia na kwotę 33.012,93</t>
    </r>
  </si>
  <si>
    <r>
      <t>Zaległości</t>
    </r>
    <r>
      <rPr>
        <sz val="8"/>
        <rFont val="Times New Roman CE"/>
        <family val="1"/>
      </rPr>
      <t xml:space="preserve"> - 0,50</t>
    </r>
  </si>
  <si>
    <r>
      <t>Umorzenia</t>
    </r>
    <r>
      <rPr>
        <sz val="8"/>
        <rFont val="Times New Roman CE"/>
        <family val="1"/>
      </rPr>
      <t xml:space="preserve"> - 800,00                                                                                                                                                               </t>
    </r>
    <r>
      <rPr>
        <b/>
        <sz val="8"/>
        <rFont val="Times New Roman CE"/>
        <family val="0"/>
      </rPr>
      <t>Zaległości</t>
    </r>
    <r>
      <rPr>
        <sz val="8"/>
        <rFont val="Times New Roman CE"/>
        <family val="1"/>
      </rPr>
      <t xml:space="preserve"> - 201,00                                                                                   Wystawiono 2 upomnienia na kwotę 2.637,00                                                                 </t>
    </r>
  </si>
  <si>
    <r>
      <t xml:space="preserve">Odsetki za nieterminowe regulowanie należności podatkowych                                                                                                 </t>
    </r>
    <r>
      <rPr>
        <b/>
        <sz val="8"/>
        <rFont val="Times New Roman CE"/>
        <family val="0"/>
      </rPr>
      <t xml:space="preserve"> Zaległości:</t>
    </r>
    <r>
      <rPr>
        <sz val="8"/>
        <rFont val="Times New Roman CE"/>
        <family val="0"/>
      </rPr>
      <t xml:space="preserve"> należne odsetki na 31.12.2007 r. -</t>
    </r>
    <r>
      <rPr>
        <sz val="8"/>
        <color indexed="10"/>
        <rFont val="Times New Roman CE"/>
        <family val="0"/>
      </rPr>
      <t xml:space="preserve"> </t>
    </r>
    <r>
      <rPr>
        <sz val="8"/>
        <rFont val="Times New Roman CE"/>
        <family val="0"/>
      </rPr>
      <t>528,50</t>
    </r>
  </si>
  <si>
    <t>- ryczałty samochodowe i koszty podróży służbowych,</t>
  </si>
  <si>
    <t>Podróże służbowe zagraniczne</t>
  </si>
  <si>
    <t>- opłaty za korzystanie ze środowiska przekazywane do Urzędu Marszałkowskiego w Poznaniu,  opłata za trwały zarząd, opłaty za umieszczenie sieci wodociągowych w pasie drogowym i dzierżawa działki pod sieć wodociągową w Pólku, ubezpieczenia pojazdów,</t>
  </si>
  <si>
    <t>Zakup materiałów papierniczych do sprzętu drukarskiego i urządzeń kserograficznych</t>
  </si>
  <si>
    <t>Zakup akcesoriów komputerowych, w tym programów i licencji</t>
  </si>
  <si>
    <t xml:space="preserve">Zakup usług remontowych </t>
  </si>
  <si>
    <t>Urzędy naczelnych organów władzy państwowej, kontroli i ochrony prawa oraz sądownictwa</t>
  </si>
  <si>
    <t xml:space="preserve">Urzędy naczelnych organów władzy państwowej, kontroli i ochrony prawa </t>
  </si>
  <si>
    <t>Jednostki terenowe Policji</t>
  </si>
  <si>
    <t>Ochotnicze straże pożarne</t>
  </si>
  <si>
    <t>Dotacja celowa z budżetu na finansowanie lub dofinansowanie kosztów realizacji inwestycji i zakupów inwestycyjnych jednostek niezaliczanych do sektora finansów publicznych</t>
  </si>
  <si>
    <t>Dochody od osób prawnych, od osób fizycznych i od innych jednostek nie posiadających osobowości prawnej</t>
  </si>
  <si>
    <t>Pobór podatków, opłat i niepodatkowych należności budżetowych</t>
  </si>
  <si>
    <t>Wynagrodzenia agencyjno-prowizyjne</t>
  </si>
  <si>
    <t>Koszty postępowania sądowego i prokuratorskiego</t>
  </si>
  <si>
    <t>Obsługa długu publicznego</t>
  </si>
  <si>
    <t>- wynagrodzenia wraz z pochodnymi od wynagrodzeń i inne świadczenia na rzecz pracowników objęte przepisami BHP, odprawę emerytalną pracownika</t>
  </si>
  <si>
    <t>- utrzymanie zieleni na terenie gminy, w tym: dmuchawy spalinowej 356BTX, paliwa i części zamiennych do kosiarek i wykaszarek, zakup kwiatów, środków ochrony roślin, nawozów do bieżącego utrzymania placów zieleni, naprawy kosiarek i wykaszarek,</t>
  </si>
  <si>
    <t>- wynagrodzenia wraz z pochodnymi od wynagrodzeń pracowników zatrudnionych na umowę zlecenie (kierowcy, sprzątanie pomieszczeń biurowych, prace przy budowie chodnika, prace gospodarcze, prace biurowe) i umowę o dzieło (odnowienie śmieciarki),</t>
  </si>
  <si>
    <t>- bieżące utrzymanie autobusów, przyczep, koparki, koszty obsługi biurowej Zakładu, prenumeraty wydawnictw profesionalnych, obsługi informatycznej, opłaty za studia wyższe 2 pracowników, opłata za kurs przewoźnika drogowego, kurs prawa jazdy kat. C, szkolenia pracowników, zakup materiałów służących działalności usługowej</t>
  </si>
  <si>
    <t>- zakup oprogramowań i licencji komputerowych</t>
  </si>
  <si>
    <t>zakupy inwestycyjne z własnych środków:                                 - budowa parkingu przy siedzibie ZUK, zakup samochodu dostawczego marki Renault Trafic 1,9 Dci, zakup zestawu komputerowego i serwera z systemem archiwizacyjnym, notebook'a</t>
  </si>
  <si>
    <t>zakupy inwestycyjne ze środków z dotacji celowej:                                        - zakup nowego ciągnika New Holland TD80D z osprzętem (kosiarka bijakowa VOTEREX1502, pług Kacper PU-2600 do odśnieżania, trójpunktowy układ zawieszenia) 140 000,00 zł  i autobusu używanego Mercedes Sprinter 4120D (20+8) 60 000,00 zł</t>
  </si>
  <si>
    <t>- dotacje celowe z budżetu gminy na finansowanie lub dofinansowanie realizacji inwestycji i zakupów inwestycyjnych zakładów budżetowych</t>
  </si>
  <si>
    <t>Natomiast wykonanie planu finansowego za rok 2007 przedstawia się następująco:</t>
  </si>
  <si>
    <t>Dochody z najmu i dzierżawy składników majątkowych</t>
  </si>
  <si>
    <t>Załącznik Nr 1 do zał.nr 7</t>
  </si>
  <si>
    <t>Załącznik Nr 2 do zał.nr 7</t>
  </si>
  <si>
    <t>Obsługa papierów wartościowych, kredytów i pożyczek jednostek samorządu terytorialnego</t>
  </si>
  <si>
    <t>Opracowania geodezyjne i kartograficzne</t>
  </si>
  <si>
    <t>Wynagrodzenia osobowe pracowników</t>
  </si>
  <si>
    <t>Składki na ubezpieczenie społeczne</t>
  </si>
  <si>
    <t>Rady gmin</t>
  </si>
  <si>
    <t>Zakup energii</t>
  </si>
  <si>
    <t>Podróże służbowe krajowe</t>
  </si>
  <si>
    <t>Podróże służbowe zagraniczna</t>
  </si>
  <si>
    <t>Nagrody i wydatki osobowe nie zaliczone do wynagrodzeń</t>
  </si>
  <si>
    <t>Dodatkowe wynagrodzenia roczne</t>
  </si>
  <si>
    <t>Składki na Fundusz Pracy</t>
  </si>
  <si>
    <t>Wynagrodzenia bezosobowe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</si>
  <si>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</si>
  <si>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</si>
  <si>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</si>
  <si>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 stacjonarnej</t>
  </si>
  <si>
    <t>Odpisy na zakładowy fundusz świadczeń socjalnych</t>
  </si>
  <si>
    <t>XII w drodze</t>
  </si>
  <si>
    <t>Wykonanie  na 31.12.2007</t>
  </si>
  <si>
    <t>Uchwała nr X/54/07 Rady Gminy Kaźmierz z dn.02.08.2007</t>
  </si>
  <si>
    <t>Uchwała nr XI/59/07 Rady Gminy Kaźmierz z dn.17.08.2007</t>
  </si>
  <si>
    <t xml:space="preserve">Szkoła Podstawowa w Gaju Wielkim </t>
  </si>
  <si>
    <t xml:space="preserve">Szkoła Podstawowa w Sokolnikach Wielkich  </t>
  </si>
  <si>
    <t xml:space="preserve">Rozdział 80103 Oddziały przedszkolne </t>
  </si>
  <si>
    <t xml:space="preserve">Rozdział 80104 Przedszkola </t>
  </si>
  <si>
    <t xml:space="preserve">Rozdział 80110 Gimnazjum </t>
  </si>
  <si>
    <t xml:space="preserve">Rozdział 80113 Dowożenie uczniów </t>
  </si>
  <si>
    <t xml:space="preserve">Rozdział 80114 Zespoły ekonomiczno-administracyjne szkół  </t>
  </si>
  <si>
    <t xml:space="preserve">Rozdział 80146 Placówki dokształcania i doskonalenia nauczycieli </t>
  </si>
  <si>
    <t xml:space="preserve">Rozdział 80195 Pozostała działalność </t>
  </si>
  <si>
    <t xml:space="preserve">Utrzymanie Ośrodka Pomocy Społecznej </t>
  </si>
  <si>
    <t xml:space="preserve">Pozostała działalność </t>
  </si>
  <si>
    <t xml:space="preserve">Dodatki mieszkaniowe </t>
  </si>
  <si>
    <t xml:space="preserve">Zadania własne </t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</si>
  <si>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 xml:space="preserve">samotnego wychowywania dziecka w wys.określonej w art.11a ust.5 ustawy </t>
    </r>
  </si>
  <si>
    <t>- materiały na bieżące potrzeby ( wykładzina, fotel sędziowski,)</t>
  </si>
  <si>
    <r>
      <t>Odroczenia</t>
    </r>
    <r>
      <rPr>
        <sz val="8"/>
        <rFont val="Times New Roman CE"/>
        <family val="1"/>
      </rPr>
      <t xml:space="preserve"> - 61,00                                                                                                                                                               </t>
    </r>
    <r>
      <rPr>
        <b/>
        <sz val="8"/>
        <rFont val="Times New Roman CE"/>
        <family val="0"/>
      </rPr>
      <t>Zaległości</t>
    </r>
    <r>
      <rPr>
        <sz val="8"/>
        <rFont val="Times New Roman CE"/>
        <family val="1"/>
      </rPr>
      <t xml:space="preserve"> - 119,91                                                                                  </t>
    </r>
  </si>
  <si>
    <r>
      <t>Zaległości</t>
    </r>
    <r>
      <rPr>
        <sz val="8"/>
        <rFont val="Times New Roman CE"/>
        <family val="1"/>
      </rPr>
      <t xml:space="preserve"> - 4.387,47                                                                                       Wystawiono 16 upomnień na kwotę 13.905,00</t>
    </r>
  </si>
  <si>
    <t>Wpływy z opłaty targowej.</t>
  </si>
  <si>
    <r>
      <t>Wpływy ze sprzedaży wody, opłaty stałej i dotacji przedmiotowej z budżetu (bez podatku Vat) tytułem dopłaty do 1m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wody.                                                                                                                Od 1 kwietnia 2007 r. Zakład nie korzysta z dopłat, wzrosła stawka za 1m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wody dla gospodarstw domowych o 0,03 zł + Vat oraz opłata stała o 0,10 zł.</t>
    </r>
  </si>
  <si>
    <r>
      <t>Umorzenia</t>
    </r>
    <r>
      <rPr>
        <sz val="8"/>
        <rFont val="Times New Roman CE"/>
        <family val="1"/>
      </rPr>
      <t xml:space="preserve"> - 10.856,00                                                                                                                                                             </t>
    </r>
    <r>
      <rPr>
        <b/>
        <sz val="8"/>
        <rFont val="Times New Roman CE"/>
        <family val="0"/>
      </rPr>
      <t>Zaległości</t>
    </r>
    <r>
      <rPr>
        <sz val="8"/>
        <rFont val="Times New Roman CE"/>
        <family val="1"/>
      </rPr>
      <t xml:space="preserve"> - 39.315,84                                                                                              </t>
    </r>
    <r>
      <rPr>
        <b/>
        <sz val="8"/>
        <rFont val="Times New Roman CE"/>
        <family val="0"/>
      </rPr>
      <t>Odroczenia</t>
    </r>
    <r>
      <rPr>
        <sz val="8"/>
        <rFont val="Times New Roman CE"/>
        <family val="1"/>
      </rPr>
      <t xml:space="preserve"> - 914,00                                                                                   </t>
    </r>
    <r>
      <rPr>
        <b/>
        <sz val="8"/>
        <rFont val="Times New Roman CE"/>
        <family val="0"/>
      </rPr>
      <t>Rozłożenie na raty</t>
    </r>
    <r>
      <rPr>
        <sz val="8"/>
        <rFont val="Times New Roman CE"/>
        <family val="1"/>
      </rPr>
      <t xml:space="preserve"> - 86,00                                                                                       Wystawiono 680 upomnień na kwotę 115.862,15 oraz 69 tytułów wykonawczych na kwotę 11.618,82</t>
    </r>
  </si>
  <si>
    <r>
      <t>Umorzenia</t>
    </r>
    <r>
      <rPr>
        <sz val="8"/>
        <rFont val="Times New Roman CE"/>
        <family val="1"/>
      </rPr>
      <t xml:space="preserve"> - 1.255,00                                                                                                                                                             </t>
    </r>
    <r>
      <rPr>
        <b/>
        <sz val="8"/>
        <rFont val="Times New Roman CE"/>
        <family val="0"/>
      </rPr>
      <t>Zaległości</t>
    </r>
    <r>
      <rPr>
        <sz val="8"/>
        <rFont val="Times New Roman CE"/>
        <family val="1"/>
      </rPr>
      <t xml:space="preserve"> - 7.755,15                                                                                              </t>
    </r>
    <r>
      <rPr>
        <b/>
        <sz val="8"/>
        <rFont val="Times New Roman CE"/>
        <family val="0"/>
      </rPr>
      <t>Odroczenia</t>
    </r>
    <r>
      <rPr>
        <sz val="8"/>
        <rFont val="Times New Roman CE"/>
        <family val="1"/>
      </rPr>
      <t xml:space="preserve"> - 161,00                                                                                   </t>
    </r>
    <r>
      <rPr>
        <b/>
        <sz val="8"/>
        <rFont val="Times New Roman CE"/>
        <family val="0"/>
      </rPr>
      <t>Rozłożenie na raty</t>
    </r>
    <r>
      <rPr>
        <sz val="8"/>
        <rFont val="Times New Roman CE"/>
        <family val="1"/>
      </rPr>
      <t xml:space="preserve"> - 1,00                                                                                       Wystawiono 278 upomnień na kwotę 59.715,84 oraz 51 tytułów wykonawczych na kwotę 12.440,29</t>
    </r>
  </si>
  <si>
    <t>należność z tytułu odsetek od nieterminowych wpłat za wieczyste użytkowanie</t>
  </si>
  <si>
    <t>należność z tytułu odsetek należnych za sprzedaż ratalną nieruchomości wg umów</t>
  </si>
  <si>
    <t>należności z tytułu podatku od działalności gospodarczej osób fizycznych, opłacanego w formie karty podatkowej</t>
  </si>
  <si>
    <t>należności z tytułu podatku od nieruchomości</t>
  </si>
  <si>
    <t>należności z tytułu podatku rolnego</t>
  </si>
  <si>
    <t>należności z tytułu podatku leśnego</t>
  </si>
  <si>
    <r>
      <t xml:space="preserve">Odsetki za nieterminowe regulowanie należności podatkowych.                                                                                                           </t>
    </r>
    <r>
      <rPr>
        <b/>
        <sz val="8"/>
        <rFont val="Times New Roman CE"/>
        <family val="0"/>
      </rPr>
      <t>Zaległości:</t>
    </r>
    <r>
      <rPr>
        <sz val="8"/>
        <rFont val="Times New Roman CE"/>
        <family val="1"/>
      </rPr>
      <t xml:space="preserve"> należne odsetki na 31.12.2007 r. - 2.558,00</t>
    </r>
  </si>
  <si>
    <r>
      <t>Wpływy z opłaty eksploatacyjnej za wydobyte kopaliny ze złóż na terenie Gminy Kaźmierz za IV kwartał 2005r. oraz za trzy kwartały roku 2007 (wydobycie 10.704,19 tys.m</t>
    </r>
    <r>
      <rPr>
        <vertAlign val="superscript"/>
        <sz val="8"/>
        <rFont val="Times New Roman CE"/>
        <family val="0"/>
      </rPr>
      <t>3</t>
    </r>
    <r>
      <rPr>
        <sz val="8"/>
        <rFont val="Times New Roman CE"/>
        <family val="0"/>
      </rPr>
      <t xml:space="preserve">). </t>
    </r>
  </si>
  <si>
    <t>Dokształcanie i doskonalenie nauczycieli</t>
  </si>
  <si>
    <t>Ochrona zdrowia</t>
  </si>
  <si>
    <t>Przeciwdziałanie alkoholizmowi</t>
  </si>
  <si>
    <t>Dotacja celowa z budżetu na finansowanie lub dofinansowanie zadań zleconych do realizacji stowarzyszeniom</t>
  </si>
  <si>
    <t>Wpłaty jednostek na fundusz celowy na finansowanie lub dofinansowanie zadań inwestycyjnych</t>
  </si>
  <si>
    <t>Wydatki na pomoc finansową udzielaną między jednostkami samorządu terytorialnego na dofinansowanie własnych zadań inwestycyjnych i zakupów inwestycyjnych</t>
  </si>
  <si>
    <t>Świadczenia społeczne</t>
  </si>
  <si>
    <t>Składka na ubezpieczenie zdrowotne</t>
  </si>
  <si>
    <t>Odsetki i dyskonto od krajowych skarbowych papierów wartościowych oraz pożyczek i kredytów</t>
  </si>
  <si>
    <t>Rezerwy ogólne i celowe</t>
  </si>
  <si>
    <t>Rezerwy</t>
  </si>
  <si>
    <t>Inne formy pomocy dla uczniów</t>
  </si>
  <si>
    <t>Pomoce naukowe i dydaktyczne, książki</t>
  </si>
  <si>
    <t>Rózne opłaty i składki</t>
  </si>
  <si>
    <t>Oddziały przedszkolne w szkołach podstawowych</t>
  </si>
  <si>
    <t>Dotacja dla placówki niepublicznej</t>
  </si>
  <si>
    <t>Zespoły ekonomiczno-administracyjne szkół</t>
  </si>
  <si>
    <t xml:space="preserve">- usługi remontowe, naprawcze ( naprawa dachu po wichurze, remont klas- stara szkoła ) </t>
  </si>
  <si>
    <t>- zakup usług zdrowotnych</t>
  </si>
  <si>
    <t>- zakup usług pozostałych ( opłaty RTV,dozór techniczny, przeglądy serwisowe ,pływalnia, chemiczne czyszczenie sieci CO, aktualizacje programów)</t>
  </si>
  <si>
    <t>- zakup usług dostepu do sieci Internet</t>
  </si>
  <si>
    <t>- zakup usług telekomunikacyjnych telefonii komórkowej</t>
  </si>
  <si>
    <t>- zakup usług telekomunikacyjnych</t>
  </si>
  <si>
    <t>- zakup art.papierniczych ( papier do kopiarek i drukarek)</t>
  </si>
  <si>
    <t xml:space="preserve">- usługi remontowe, naprawcze ( naprawa dachu po wichurze) </t>
  </si>
  <si>
    <t>- zakup usług pozostałych ( opłaty RTV,dozór techniczny, przeglądy serwisowe )</t>
  </si>
  <si>
    <t>12. Wykonano remont pokrycia dachu oraz ocieplenie i otynkowanie elewacji budynku ABCD przy ul. Szamotulskiej 20 oraz remont budynku B polegający na adaptacji pomieszczeń.</t>
  </si>
  <si>
    <t>- koszty monitorowania obiektu  oraz pozostałych kosztów bieżącego utrzymania GOK</t>
  </si>
  <si>
    <t>Zał.do zał.nr 2</t>
  </si>
  <si>
    <t>Zał.Nr 1</t>
  </si>
  <si>
    <t>należności z tytułu podatku od środków transportowych</t>
  </si>
  <si>
    <t>należności z tytułu podatku od czynności cywilnoprawnych</t>
  </si>
  <si>
    <t>należność z tytułu odsetek od nieterminowych wpłat należności podatkowych</t>
  </si>
  <si>
    <t>należności z tytułu opłaty planistycznej</t>
  </si>
  <si>
    <t>należność z tytułu odsetek od nieterminowych wpłat opłaty planistycznej</t>
  </si>
  <si>
    <t>zobowiązania z tytułu pochodnych od wynagrodzeń</t>
  </si>
  <si>
    <t>zobowiązania z tytułu dostaw towarów i usług</t>
  </si>
  <si>
    <t>2.</t>
  </si>
  <si>
    <t>Gminny Zespół Oświatowy</t>
  </si>
  <si>
    <t>3.</t>
  </si>
  <si>
    <t>Gminny Ośrodek Pomocy Społecznej</t>
  </si>
  <si>
    <t>4.</t>
  </si>
  <si>
    <t>Zakład Usług Komunalnych</t>
  </si>
  <si>
    <t>* korekta koron drzew</t>
  </si>
  <si>
    <t>WYDATKI MAJĄTKOWE GMINY KAŹMIERZ W 2007r.</t>
  </si>
  <si>
    <t>Plan wydatków majątkowych na 2007 r. po zmianach</t>
  </si>
  <si>
    <t>Budowa sieci wodociągowej w m.K-rz ul.Polna-Reja</t>
  </si>
  <si>
    <t>Budowa sieci wodociągowej w m.Kopanina</t>
  </si>
  <si>
    <t>Budowa sieci wodociągowej w m.Radzyny ul.Leśna</t>
  </si>
  <si>
    <t>Budowa sieci wodociągowej w m.K-rz ul.Jabłoniowa</t>
  </si>
  <si>
    <t>Budowa sieci wodociągowej w m.K-rz ul.Poznańska</t>
  </si>
  <si>
    <t>Budowa sieci wodociągowej w m.Komorowo</t>
  </si>
  <si>
    <t>Budowa sieci wodociągowej w m.Radzyny rej.ul.Krańcowej I,II,III</t>
  </si>
  <si>
    <t>Modernizacja SUW w m.Gaj Wielki</t>
  </si>
  <si>
    <t>Budowa sieci wodociągowej w m.Bytyń - Tartak</t>
  </si>
  <si>
    <t>Budowa sieci wodociągowej w m.Radzyny - Chrusty</t>
  </si>
  <si>
    <t>Budowa kanalizacji sanitarnej w m.Piersko</t>
  </si>
  <si>
    <t>Budowa sieci kanalizacji sanitarnej-układ Kaźmierz-Kiączyn</t>
  </si>
  <si>
    <t>Budowa kanalizacji sanitarnej w m.K-rz ul.Konopnickiej-Dolna</t>
  </si>
  <si>
    <t>Budowa kanalizacji sanitarnej w m.K-rz ul.Poznańska-Dolna</t>
  </si>
  <si>
    <t>Pomoc finansowa dla Powiatu Szamotulskiego na zadanie p.n. "Przebudowa drogi powiatowej nr 1860P Otorowo-Bytyń w Bytyniu o dł.ok.400m"</t>
  </si>
  <si>
    <t>Budowa drogi dojazdowej do gruntów rolnych Gaj Wielki - Stramnica</t>
  </si>
  <si>
    <t>Budowa chodnika w m. K-rz ul.Dworcowa</t>
  </si>
  <si>
    <t>Budowa drogi przy osiedlu w m.Kaźmierz rej.ul.Nowowiejskiej</t>
  </si>
  <si>
    <t>- wynagrodzenie wraz z pochodnymi od wynagrodzeń pracownika zatrudnionego na umowę zlecenie do utrzymania zieleni przy siedzibie Zakładu i na Rynku w Kaźmierzu,</t>
  </si>
  <si>
    <t>Wpłaty na Państwowy Fundusz Rehabilitacji Osób Niepełnosprawnych</t>
  </si>
  <si>
    <t>- wpłata na PFRON z uwagi na nieosiągnięty wskaźnik 5% dotyczący zatrudnienia osób niepełnosprawnych w miesiącu lutym,</t>
  </si>
  <si>
    <t>Zakup usług dostępu do sieci internet</t>
  </si>
  <si>
    <t>- abonament za dostęp do sieci Internet DSL 1000 TP,</t>
  </si>
  <si>
    <t>Opłaty z tyt. zakupu usł. tel. komórkowej</t>
  </si>
  <si>
    <t>- opłaty abonamentowe i rozmowy telefonii komórkowej,</t>
  </si>
  <si>
    <t>Opłaty z tyt. zakupu usł. tel. stacjonarnej</t>
  </si>
  <si>
    <t>- opłaty abonamentowe i rozmowy telefonii stacjonarnej,</t>
  </si>
  <si>
    <t>- ubezpieczenia pojazdów: autobusów, koparki, przyczep, sprzętu komputerowego, opłaty skarbowe, drogowe, winiety, opłaty za korzystanie ze środowiska przekazywane do Urzędu Marszałkowskiego w Poznaniu, opłata za certyfikat przewoźnika drogowego,</t>
  </si>
  <si>
    <t>- zakup papieru do drukarek i kserokopiarki,</t>
  </si>
  <si>
    <r>
      <t>Rozdział ten obejmuje wpływy z tytułu: odprowadzania ścieków dopływających, dowożonych, sprzeaży mikroflory i dotacji przedmiotowej z budżetu (bez podatku Vat) tytułem dopłaty do 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ścieków. Od 1.04.2007 r. wzrosła stawka za odprowadzanie ścieków dopływających o 0,26 zł za 1m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+ Vat.</t>
    </r>
  </si>
  <si>
    <t>Zał.nr 8</t>
  </si>
  <si>
    <t>Lp</t>
  </si>
  <si>
    <t>Należności</t>
  </si>
  <si>
    <t>Zobowiązania</t>
  </si>
  <si>
    <t>Tytuł powstania należności/zobowiązania</t>
  </si>
  <si>
    <t>wymagalne</t>
  </si>
  <si>
    <t>niewymagalne</t>
  </si>
  <si>
    <t>1.</t>
  </si>
  <si>
    <t>Urząd Gminy</t>
  </si>
  <si>
    <t>należności z tytułu wieczystego użytkowania</t>
  </si>
  <si>
    <t xml:space="preserve">należność z tytułu sprzedaży ratalnej </t>
  </si>
  <si>
    <t>należność z tytułu odsetek od nieterminowych wpłat rat za wykup nieruchomości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</si>
  <si>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dotacja dla organizacj pozarządowej KKS Czarni Kaźmierz (Umowa Nr 1 /2007. z dnia 13.04.2007 r.)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</si>
  <si>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ubezpieczenia budynku sportowego w Kaźmierzu</t>
    </r>
  </si>
  <si>
    <t xml:space="preserve">Zał.nr 3 </t>
  </si>
  <si>
    <t>Wyszczególnienie</t>
  </si>
  <si>
    <t>Plan przychodów</t>
  </si>
  <si>
    <t>Zmiana</t>
  </si>
  <si>
    <t>Plan przychodów po zmianach</t>
  </si>
  <si>
    <t>Plan rozchodów</t>
  </si>
  <si>
    <t>Plan rozchodów po zmianach</t>
  </si>
  <si>
    <t>Przychody z zaciągniętych pożyczek i kredytów na rynku krajowym</t>
  </si>
  <si>
    <t>Spłaty otrzymanych krajowych pożyczek i kredytów</t>
  </si>
  <si>
    <t>Przebudowa płyty Rynku w Kaźmierzu</t>
  </si>
  <si>
    <t>Wykup działek</t>
  </si>
  <si>
    <t>Wykup dróg</t>
  </si>
  <si>
    <t>Infrastruktura obiegu dokumentów</t>
  </si>
  <si>
    <t>Budowa świetlicy wiejskiej w Kiączynie</t>
  </si>
  <si>
    <t>Wykup nieruchomości zabudowanej położonej w m.Młodasko na dz.nr 92/1 z przeznaczeniem na świetlicę wiejską.</t>
  </si>
  <si>
    <t>Dotacja dla jednostek OSP na zakup sprzetu pożarniczego i ratowniczego z dotacjami z MSWiA, ZGł.ZOSP, ZW ZOSP</t>
  </si>
  <si>
    <t>Zakup sprzętu koputerowego</t>
  </si>
  <si>
    <t xml:space="preserve">Wykonanie oświetlenia parkingu i budynku przedszkola </t>
  </si>
  <si>
    <t>Zakup zestawu komputerowego</t>
  </si>
  <si>
    <t>Zakup drukarki</t>
  </si>
  <si>
    <t>Zakup wózka na mopy</t>
  </si>
  <si>
    <t>Budowa sieci gazowej na terenie gminy.</t>
  </si>
  <si>
    <t xml:space="preserve">Zał.Nr 5 </t>
  </si>
  <si>
    <t>Zasiłki rodzinne, pielęgnacyjne i wychowawcze</t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</si>
  <si>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>budowę sieci wodociągowej  w Kaźmierzu rej.ul.Konopnickiej i Dolnej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</si>
  <si>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odpis na Izby Rolnicze za rok 2006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</si>
  <si>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budowę drogi dojazdowej do gruntów rolnych Gaj Wielki - Stramnica</t>
    </r>
  </si>
  <si>
    <t>-      końcowe rozliczenie inwestycji pn."Budowa chodnika przy drodze powiatowej nr 1891 P w m.Gaj Wielki"</t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</si>
  <si>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>przebudowa płyty rynku w Kaźmierzu</t>
    </r>
  </si>
  <si>
    <t>-  opłatę ryczałtową za opracowanie Programu Pozyskiwania Środków Unijnych (Ramowa umowa o współpracy z dnia 18.05.2007 r.)</t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</si>
  <si>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 xml:space="preserve">druk "Obserwatora Kaźmierskiego" </t>
    </r>
  </si>
  <si>
    <t>Składka na ubezpieczenia społeczne</t>
  </si>
  <si>
    <t>Zakup usług przez jednostki samorządu terytorialnego od innych jednostek samorządu terytorialnego</t>
  </si>
  <si>
    <t>Dodatki mieszkaniowe</t>
  </si>
  <si>
    <t>Składka na Fundusz Pracy</t>
  </si>
  <si>
    <t>Opłaty czynszowe za pomieszczenia biurowe</t>
  </si>
  <si>
    <t>Usługi opiekuńcze i specjalistyczne usługi opiekuńcze</t>
  </si>
  <si>
    <t>Gospodarka ściekowa i ochrona wód</t>
  </si>
  <si>
    <t>Oświetlenie ulic, placów i dróg</t>
  </si>
  <si>
    <t>Wynagrodzenie bezosobowe</t>
  </si>
  <si>
    <t>Domy i ośrodki kultury, świetlice i kluby</t>
  </si>
  <si>
    <t>Dotacja podmiotowa z budżetu dla samorządowej instytucji kultury</t>
  </si>
  <si>
    <t>Kultura fizyczna i sport</t>
  </si>
  <si>
    <t>Zadania w zakresie kultury fizycznej i sportu</t>
  </si>
  <si>
    <t>WYDATKI OGÓŁEM</t>
  </si>
  <si>
    <t>010  ROLNICTWO I ŁOWIECTWO</t>
  </si>
  <si>
    <t>Środki przeznaczono na: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</si>
  <si>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prace melioracyjne na terenie całej gminy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</si>
  <si>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transport urządzeń melioracyjnych</t>
    </r>
  </si>
  <si>
    <t>Przychody z tytułu innych rozliceń krajowych</t>
  </si>
  <si>
    <t>Spłaty pożyczek otrzymanych  na finansowanie zadań realizowanych z udziałem środków pochodzących z budżetu Unii Europejskiej</t>
  </si>
  <si>
    <t>Wolne środki</t>
  </si>
  <si>
    <t>Spłata pożyczki na prefinansowanie (ostatnia rata)</t>
  </si>
  <si>
    <t xml:space="preserve">    Nr III/15/06 (Dz.Urz.Woj.Wielkopolskiego Nr 22, poz.563 z dn.20.02.2007 r.) :</t>
  </si>
  <si>
    <t>Zał.Nr 6 do Uchwały nr XXVIII/184/04 Rady Gminy Kaźmierz z dn.20.12.2004r.</t>
  </si>
  <si>
    <t>Zał.Nr 6 do Uchwały NrXIX/122/04 Rady Gminy Kaźmierz z dnia 19.03.2004r.</t>
  </si>
  <si>
    <t xml:space="preserve">Zał.nr 4 </t>
  </si>
  <si>
    <t>Struktura przychodów i wydatków</t>
  </si>
  <si>
    <t>Gminnego Funduszu Ochrony Środowiska i Gospodarki Wodnej</t>
  </si>
  <si>
    <t>PRZYCHODY</t>
  </si>
  <si>
    <t>Wpływy na rzecz funduszu pochodzące z opłat za gospodarcze korzystanie ze środowiska przez podmioty gospodarcze z terenu gminy</t>
  </si>
  <si>
    <t>Kapitalizacja odsetek bankowych</t>
  </si>
  <si>
    <t>WYDATKI</t>
  </si>
  <si>
    <t>Wydatki związane z: akcją Sprzątanie Świata, realizacją Gminnego Programu Ochrony Środowiska i Planu Gospodarki Odpadami, ochroną kasztanowców, obchodami Dnia Ziemi, pozostałymi wydatkami związanymi z ochroną środowiska na terenie gminy</t>
  </si>
  <si>
    <t>Informacja o realizacji inwestycji w 2007r.</t>
  </si>
  <si>
    <t>z przyłączami:</t>
  </si>
  <si>
    <t>1.      Zakupiono Serwer HP, system operacyjny Windows Server Standard – 5 stanowisk, stanowisko ATX – 3 szt, monitor LCD Wide– 1 szt, monitor LCD – 3 szt, drukarka HP – 3 szt, pakiet biurowy Office Standard 2007 – 1 szt, Notebook – 1 szt.</t>
  </si>
  <si>
    <t>2.      Wykonano kolejne odcinki sieci wodociągowej:</t>
  </si>
  <si>
    <t>3.      Wykonano dokumentację projektową na budowę sieci wodociągowej</t>
  </si>
  <si>
    <t>a)      w m. Kopanina rej. Przylesie,</t>
  </si>
  <si>
    <t>b)     w m. Kaźmierz ul. Poznańska w kierunku Brzezna</t>
  </si>
  <si>
    <t>c)     na odcinku Radzyny – Chrusty,</t>
  </si>
  <si>
    <t>d)     w m. Bytyń, ul. Dębowa.</t>
  </si>
  <si>
    <t>4.      Wykonano kolejne odcinki kanalizacji sanitarnej:</t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</si>
  <si>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>budowę sieci wodociągowej w m.Kopanina</t>
    </r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</si>
  <si>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>budowę sieci wodociągowej w m.Radzyny ul.Leśna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</si>
  <si>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utylizację odpadów</t>
    </r>
  </si>
  <si>
    <t>020  LEŚNICTWO</t>
  </si>
  <si>
    <t>600  TRANSPORT I ŁĄCZNOŚĆ</t>
  </si>
  <si>
    <t xml:space="preserve">-      zwrot podatku akcyzowego </t>
  </si>
  <si>
    <t xml:space="preserve">-      koszt obsługi zwrotu podatku akcyzowego </t>
  </si>
  <si>
    <t>700  GOSPODARKA MIESZKANIOWA</t>
  </si>
  <si>
    <t>Wydatkowano na: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</si>
  <si>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usługi dotyczące nazewnictwa ulic i numeracji posesji</t>
    </r>
  </si>
  <si>
    <t>- wydatki na zakupy inwestycyjne ( zestaw komputerowy)</t>
  </si>
  <si>
    <t>-  pomoce naukowe, dydaktyczne, zakup książek</t>
  </si>
  <si>
    <t>- zakup materiałów i wyposażenia ( zakup wykładziny do sal)</t>
  </si>
  <si>
    <t xml:space="preserve">Przedszkola Niepubliczne </t>
  </si>
  <si>
    <t>Wydatki w tym rozdziale to dotacja na działalność Przedszkola Niepublicznego w Sokolnikach Wielkich oraz zwrot wg porozumienia za pobyt dzieci w przedszkolu niepublicznym w Gminie Tarnowo Podgórne</t>
  </si>
  <si>
    <t xml:space="preserve">- usługa dowożenia, która obejmuje dowożenie uczniów do gimnazjum oraz do szkół podstawowych </t>
  </si>
  <si>
    <t>- wynagrodzenia bezosobowe</t>
  </si>
  <si>
    <t xml:space="preserve">  tonerów do drukarek, </t>
  </si>
  <si>
    <t>- wydatki na zakupy inwestycyjne ( zestaw komputerowy,drukarka sieciowa)</t>
  </si>
  <si>
    <r>
      <t>·</t>
    </r>
    <r>
      <rPr>
        <sz val="7"/>
        <rFont val="Times New Roman"/>
        <family val="1"/>
      </rPr>
      <t>       </t>
    </r>
    <r>
      <rPr>
        <sz val="12"/>
        <rFont val="Times New Roman"/>
        <family val="1"/>
      </rPr>
      <t>dotacja dla Uczniowskiego Klubu Sportowego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</si>
  <si>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odzież</t>
    </r>
  </si>
  <si>
    <t>Wypłacono 548  świadczenia  dla 111 rodzin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</si>
  <si>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usług zdrowotnych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</si>
  <si>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usług dostępu do sieci Internet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</si>
  <si>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opłaty zatelefon stacjonarny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</si>
  <si>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opłaty czynszowe za pomieszczenia biurowe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</si>
  <si>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akcesoriów komputerowych</t>
    </r>
  </si>
  <si>
    <t>Rządowy Program "Pomoc państwa w zakresie dożywiania"</t>
  </si>
  <si>
    <t>- zasiłki szkolne ( 2 świadczenia)</t>
  </si>
  <si>
    <t>-      przełączenie zasileń budynku przy Rynku w Kaźmierzu</t>
  </si>
  <si>
    <t>-      budowa oświetlenia ulicznego w Kaźmierzu ul.Nowowiejska</t>
  </si>
  <si>
    <t>-      budowa lini NN w m.Radzyny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</si>
  <si>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usługę transportową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</si>
  <si>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sieć gazowa Pólko</t>
    </r>
  </si>
  <si>
    <t>6.      Wybudowano drogę asfaltową przy Przedszkolu w Kaźmierzu, w rej.ul. Nowowiejskiej: droga o nawierzchni z betonu asfaltowego, o długości 190 mb i szerokości 3,5 m oraz 16 miejsc parkingowych z kostki brukowej. Konstrukcja drogi: podbudowa z kruszywa łamanego stabilizowanego mechanicznie o grubości 15 cm, warstwa ścieralna o grubości 5 cm.</t>
  </si>
  <si>
    <t>7.      Wybudowano drogę o nawierzchni z betonu asfaltowego z Gaju Wielkiego do Stramnicy. Droga o długości 1820 mb i szerokości 4 mb. Konstrukcja drogi: istniejąca nawierzchnia częściowo gruntowa, częściowo istniejące kruszywo, warstwa wyrównawcza: kruszywo łamane stabilizowane mechanicznie o grubości 12 cm, warstwa wiążąca: beton asfaltowy o grubości 4 cm, warstwa ścieralna: beton asfaltowy o grubości 4 cm. Umocniono pobocza kruszywem na 0,5 m szerokości i 10 cm grubości. Gmina uzyskała dofinansowanie na przebudowę w/w drogi z Funduszu Ochrony Gruntów Rolnych (Urząd Marszałkowski Województwa Wielkopolskiego) w wysokości 57 200,00 zł.</t>
  </si>
  <si>
    <t>9.      Wykonano ścinkę poboczy na drogach leżących na terenie Gminy Kaźmierz: ok. 16,7 km dróg Kaźmierz - Kiączyn, Kaźmierz - Dolne Pole - Brzezno, Kopanina, Komorowo.</t>
  </si>
  <si>
    <t>10. Wykonano ewidencję dróg na terenie Gminy Kaźmierz.</t>
  </si>
  <si>
    <t>11. Kontynuowane są prace związane z budową świetlicy w Kiączynie (stan surowy zamknięty, przyłącze energetyczne).</t>
  </si>
  <si>
    <t xml:space="preserve">13. Wykonano montaż nowej stolarki okiennej w Gminnym Ośrodku Zdrowia z PCV w kolorze białym – 64 szt. </t>
  </si>
  <si>
    <t>15. Wykonano remont pokrycia dachowego na świetlicy wiejskiej w Gaju Wielkim: pokrycie papą termozgrzewalną na powierzchni 310 m2.</t>
  </si>
  <si>
    <t>16. Wykonano dokumentację projektowo - kosztorysową na budowę Stacji Uzdatniania Wody w m. Gaj Wielki.</t>
  </si>
  <si>
    <t>17. Wykonano dokumentację projektowo – kosztorysową na remont pomnika ofiar II wojny światowej w Kaźmierzu.</t>
  </si>
  <si>
    <t>18. Wykonano dokumentację budowlano-wykonawczą projektu wejścia do Urzędu Gminy w Kaźmierzu i zagospodarowania terenu dookoła budynku.</t>
  </si>
  <si>
    <t>19. Zlecono opracowanie dokumentacji projektowej rozbudowy oczyszczalni ścieków w Kiączynie wraz z siecią kanalizacji sanitarnej (układ Kaźmierz - Kiączyn). Zgodnie u umową wykonano wstępną koncepcję w/w zadania.</t>
  </si>
  <si>
    <t>20. Zakupiono kocioł grzejny wodny na gaz o mocy 35 KW dwufunkcyjny Niedźwiedź z zasobnikiem ciepłej wody dla świetlicy wiejskiej w Radzynach.</t>
  </si>
  <si>
    <t>8.      Wykonano chodnik w Kaźmierzu przy ul. Dworcowej o długości 200 mb i szerokości 2,10 m, z płytek betonowych ryflowanych 35x35cm szarych i czerwonych oraz odcinkami z kostki brukowej grubości 8 cm.</t>
  </si>
  <si>
    <t>Budowa sieci wodociągowej w m.K-rz ul.Gołębia</t>
  </si>
  <si>
    <t xml:space="preserve">Plan wydatków majątkowych na 2007 r. </t>
  </si>
  <si>
    <t>Budowa sieci wodociągowej w m.K-rz ul.Konopnickiej-Dolna</t>
  </si>
  <si>
    <t>Budowa sieci wodociągowej w m.Kaźmierz ul.Nowowiejskiej-Żniwnej</t>
  </si>
  <si>
    <t>Budowa sieci wodociągowej w Dolne Pole - Brzezno</t>
  </si>
  <si>
    <t>Budowa chodnika przy ul.Reja w Kaźmierzu wraz z odprowadzeniem wód opadowych</t>
  </si>
  <si>
    <t>Zakup agregatu prądotwórczego  do stacji uzdatniania wody w m.Piersko</t>
  </si>
  <si>
    <t>Zakup mikrobusa.</t>
  </si>
  <si>
    <t>Zakup ciągnika</t>
  </si>
  <si>
    <t>Modernizacja obejścia i rozbudowa wejścia  budynku Urzędu Gminy w Kaźmierzu z uwzględnieniem podjazdu dla osób niepełnosprawnych.</t>
  </si>
  <si>
    <t xml:space="preserve">Zakup sprzętu komputerowego </t>
  </si>
  <si>
    <t>Modernizacja kotłowni  w świetlicy wiejskiej w Bytyniu</t>
  </si>
  <si>
    <t>Zakup kotła gazowego dla świetlicy wiejskiej w Radzynach</t>
  </si>
  <si>
    <t>Zakup samochodu policyjnego marki Volkswagen CADDY Kombi 1,6 75kW</t>
  </si>
  <si>
    <t>Budowa ogrodzenia budynku Przedszkola w Kaźmierzu</t>
  </si>
  <si>
    <t>Zakup mebli przedszkolnych</t>
  </si>
  <si>
    <t>Utwardzenie placu</t>
  </si>
  <si>
    <t>Instalacja klap dymnych</t>
  </si>
  <si>
    <t>Podgrzewanie elektryczne odpływów wód opadowych</t>
  </si>
  <si>
    <t>Zakup sprzętu komputerowego</t>
  </si>
  <si>
    <t>Przeniesienie do działu 010-01010-6050</t>
  </si>
  <si>
    <r>
      <t>Oświetlenie dróg osiedlowych na terenie gminy Kaźmierz: K-rz ul.Nowowiejska</t>
    </r>
  </si>
  <si>
    <t xml:space="preserve">- wydatki na zakupy inwestycyjne </t>
  </si>
  <si>
    <r>
      <t xml:space="preserve">Materiały na akcję "Sprzątanie Świata 2004" oraz na Dzień Ziemi </t>
    </r>
    <r>
      <rPr>
        <b/>
        <sz val="10"/>
        <rFont val="Times New Roman CE"/>
        <family val="1"/>
      </rPr>
      <t>4.600,00</t>
    </r>
    <r>
      <rPr>
        <sz val="10"/>
        <rFont val="Times New Roman CE"/>
        <family val="1"/>
      </rPr>
      <t xml:space="preserve">, realizacja Gminnego Programu Ochrony Środowiska </t>
    </r>
    <r>
      <rPr>
        <b/>
        <sz val="10"/>
        <rFont val="Times New Roman CE"/>
        <family val="1"/>
      </rPr>
      <t>17.500,00</t>
    </r>
    <r>
      <rPr>
        <sz val="10"/>
        <rFont val="Times New Roman CE"/>
        <family val="1"/>
      </rPr>
      <t xml:space="preserve">, przegląd ekologiczny i prace rekultywacyjne wysypiska </t>
    </r>
    <r>
      <rPr>
        <b/>
        <sz val="10"/>
        <rFont val="Times New Roman CE"/>
        <family val="1"/>
      </rPr>
      <t>10.100,00</t>
    </r>
    <r>
      <rPr>
        <sz val="10"/>
        <rFont val="Times New Roman CE"/>
        <family val="1"/>
      </rPr>
      <t xml:space="preserve">, pozostałe wydatki </t>
    </r>
    <r>
      <rPr>
        <b/>
        <sz val="10"/>
        <rFont val="Times New Roman CE"/>
        <family val="1"/>
      </rPr>
      <t>4.700,00</t>
    </r>
  </si>
  <si>
    <t>* Urząd Marszałkowski – rozliczenie opłat za gospodarcze korzystanie ze środowiska</t>
  </si>
  <si>
    <t xml:space="preserve">* pozostałe dochody </t>
  </si>
  <si>
    <t>Zaplanowane środki przeznaczono na:</t>
  </si>
  <si>
    <t>* edukację ekologiczną</t>
  </si>
  <si>
    <t>* prowizje bankowe</t>
  </si>
  <si>
    <t>Plan przychodów/wydatków w 2007 r.</t>
  </si>
  <si>
    <t>Stan konta bankowego na 01.01.2007r.</t>
  </si>
  <si>
    <t>za okres od 01.01.2007r. – 31.12.2007 r.</t>
  </si>
  <si>
    <t>21. Zakupiono kocioł grzejny wodny na miał o mocy 58 KW z wentylatorem firmy SKID dla świetlicy wiejskiej w Bytyniu.</t>
  </si>
  <si>
    <r>
      <t xml:space="preserve">a)      W Kaźmierzu rej. ul. Konopnickiej i Dolnej: </t>
    </r>
    <r>
      <rPr>
        <b/>
        <sz val="14"/>
        <rFont val="Times New Roman"/>
        <family val="1"/>
      </rPr>
      <t>410</t>
    </r>
    <r>
      <rPr>
        <sz val="14"/>
        <rFont val="Times New Roman"/>
        <family val="1"/>
      </rPr>
      <t xml:space="preserve"> mb sieci z rur PCV Ø110,</t>
    </r>
  </si>
  <si>
    <r>
      <t xml:space="preserve">b)     w Kaźmierzu, rej. ul. Polnej: </t>
    </r>
    <r>
      <rPr>
        <b/>
        <sz val="14"/>
        <rFont val="Times New Roman"/>
        <family val="1"/>
      </rPr>
      <t>434</t>
    </r>
    <r>
      <rPr>
        <sz val="14"/>
        <rFont val="Times New Roman"/>
        <family val="1"/>
      </rPr>
      <t xml:space="preserve"> mb sieci z rur PCV Ø 110 oraz </t>
    </r>
    <r>
      <rPr>
        <b/>
        <sz val="14"/>
        <rFont val="Times New Roman"/>
        <family val="1"/>
      </rPr>
      <t>30</t>
    </r>
    <r>
      <rPr>
        <sz val="14"/>
        <rFont val="Times New Roman"/>
        <family val="1"/>
      </rPr>
      <t xml:space="preserve"> mb Ø 90,</t>
    </r>
  </si>
  <si>
    <r>
      <t xml:space="preserve">c)     w Kaźmierzu ul. Jabłoniowa: </t>
    </r>
    <r>
      <rPr>
        <b/>
        <sz val="14"/>
        <rFont val="Times New Roman"/>
        <family val="1"/>
      </rPr>
      <t>152</t>
    </r>
    <r>
      <rPr>
        <sz val="14"/>
        <rFont val="Times New Roman"/>
        <family val="1"/>
      </rPr>
      <t xml:space="preserve"> mb sieci z rur PCV Ø 110 oraz </t>
    </r>
    <r>
      <rPr>
        <b/>
        <sz val="14"/>
        <rFont val="Times New Roman"/>
        <family val="1"/>
      </rPr>
      <t>45</t>
    </r>
    <r>
      <rPr>
        <sz val="14"/>
        <rFont val="Times New Roman"/>
        <family val="1"/>
      </rPr>
      <t xml:space="preserve"> mb Ø 80,</t>
    </r>
  </si>
  <si>
    <r>
      <t xml:space="preserve">d)     w Kaźmierzu ul. Gołębia: </t>
    </r>
    <r>
      <rPr>
        <b/>
        <sz val="14"/>
        <rFont val="Times New Roman"/>
        <family val="1"/>
      </rPr>
      <t>132</t>
    </r>
    <r>
      <rPr>
        <sz val="14"/>
        <rFont val="Times New Roman"/>
        <family val="1"/>
      </rPr>
      <t xml:space="preserve"> mb sieci z rur PCV Ø 110,</t>
    </r>
  </si>
  <si>
    <r>
      <t xml:space="preserve">e)     w m. Kaźmierz, rej. ul. Nowowiejskiej i Żniwnej: </t>
    </r>
    <r>
      <rPr>
        <b/>
        <sz val="14"/>
        <rFont val="Times New Roman"/>
        <family val="1"/>
      </rPr>
      <t>820</t>
    </r>
    <r>
      <rPr>
        <sz val="14"/>
        <rFont val="Times New Roman"/>
        <family val="1"/>
      </rPr>
      <t xml:space="preserve"> mb sieci</t>
    </r>
  </si>
  <si>
    <r>
      <t xml:space="preserve">z rur PCV Ø 110 oraz </t>
    </r>
    <r>
      <rPr>
        <b/>
        <sz val="14"/>
        <rFont val="Times New Roman"/>
        <family val="1"/>
      </rPr>
      <t>342</t>
    </r>
    <r>
      <rPr>
        <sz val="14"/>
        <rFont val="Times New Roman"/>
        <family val="1"/>
      </rPr>
      <t xml:space="preserve"> mb z rur Ø 90,</t>
    </r>
  </si>
  <si>
    <r>
      <t xml:space="preserve">f)      w m. Radzyny, w rejonie ul. Krańcowej: </t>
    </r>
    <r>
      <rPr>
        <b/>
        <sz val="14"/>
        <rFont val="Times New Roman"/>
        <family val="1"/>
      </rPr>
      <t>110</t>
    </r>
    <r>
      <rPr>
        <sz val="14"/>
        <rFont val="Times New Roman"/>
        <family val="1"/>
      </rPr>
      <t xml:space="preserve"> mb sieci z rur PCV Ø 110,</t>
    </r>
  </si>
  <si>
    <r>
      <t xml:space="preserve">g)     w m. Radzyny, rej. ul. Leśnej: </t>
    </r>
    <r>
      <rPr>
        <b/>
        <sz val="14"/>
        <rFont val="Times New Roman"/>
        <family val="1"/>
      </rPr>
      <t>420</t>
    </r>
    <r>
      <rPr>
        <sz val="14"/>
        <rFont val="Times New Roman"/>
        <family val="1"/>
      </rPr>
      <t xml:space="preserve"> mb sieci z rur PCV Ø 110,</t>
    </r>
  </si>
  <si>
    <r>
      <t xml:space="preserve">h)     w m. Komorowo: </t>
    </r>
    <r>
      <rPr>
        <b/>
        <sz val="14"/>
        <rFont val="Times New Roman"/>
        <family val="1"/>
      </rPr>
      <t>57</t>
    </r>
    <r>
      <rPr>
        <sz val="14"/>
        <rFont val="Times New Roman"/>
        <family val="1"/>
      </rPr>
      <t xml:space="preserve"> mb sieci z rur PCV Ø 90,</t>
    </r>
  </si>
  <si>
    <r>
      <t xml:space="preserve">i)       na odcinku Dolne Pole – Brzezno o długości </t>
    </r>
    <r>
      <rPr>
        <b/>
        <sz val="14"/>
        <rFont val="Times New Roman"/>
        <family val="1"/>
      </rPr>
      <t>420</t>
    </r>
    <r>
      <rPr>
        <sz val="14"/>
        <rFont val="Times New Roman"/>
        <family val="1"/>
      </rPr>
      <t xml:space="preserve"> mb z rur PCV Ø 110.</t>
    </r>
  </si>
  <si>
    <r>
      <t xml:space="preserve">a)      w m. Piersko: </t>
    </r>
    <r>
      <rPr>
        <b/>
        <sz val="14"/>
        <rFont val="Times New Roman"/>
        <family val="1"/>
      </rPr>
      <t xml:space="preserve">896 </t>
    </r>
    <r>
      <rPr>
        <sz val="14"/>
        <rFont val="Times New Roman"/>
        <family val="1"/>
      </rPr>
      <t xml:space="preserve">mb z rur PCV Ø 250, </t>
    </r>
    <r>
      <rPr>
        <b/>
        <sz val="14"/>
        <rFont val="Times New Roman"/>
        <family val="1"/>
      </rPr>
      <t>145</t>
    </r>
    <r>
      <rPr>
        <sz val="14"/>
        <rFont val="Times New Roman"/>
        <family val="1"/>
      </rPr>
      <t xml:space="preserve"> mb Ø 200 oraz przyłącza Ø 160 o długości </t>
    </r>
    <r>
      <rPr>
        <b/>
        <sz val="14"/>
        <rFont val="Times New Roman"/>
        <family val="1"/>
      </rPr>
      <t>260</t>
    </r>
    <r>
      <rPr>
        <sz val="14"/>
        <rFont val="Times New Roman"/>
        <family val="1"/>
      </rPr>
      <t xml:space="preserve"> mb (26 szt), studzienki kanalizacyjne Ø 425 - 53 szt.</t>
    </r>
  </si>
  <si>
    <r>
      <t xml:space="preserve">b)     w Kaźmierzu, rej. ul. Konopnickiei i Dolnej: </t>
    </r>
    <r>
      <rPr>
        <b/>
        <sz val="14"/>
        <rFont val="Times New Roman"/>
        <family val="1"/>
      </rPr>
      <t>210</t>
    </r>
    <r>
      <rPr>
        <sz val="14"/>
        <rFont val="Times New Roman"/>
        <family val="1"/>
      </rPr>
      <t xml:space="preserve"> mb sieci o przekroju Ø 200, </t>
    </r>
    <r>
      <rPr>
        <b/>
        <sz val="14"/>
        <rFont val="Times New Roman"/>
        <family val="1"/>
      </rPr>
      <t>66</t>
    </r>
    <r>
      <rPr>
        <sz val="14"/>
        <rFont val="Times New Roman"/>
        <family val="1"/>
      </rPr>
      <t xml:space="preserve"> mb Ø 160, 9 studni zbiorczych,</t>
    </r>
  </si>
  <si>
    <r>
      <t xml:space="preserve">c)     w Kaźmierzu, rej. ul. Poznańskiej i Dolnej: </t>
    </r>
    <r>
      <rPr>
        <b/>
        <sz val="14"/>
        <rFont val="Times New Roman"/>
        <family val="1"/>
      </rPr>
      <t>66</t>
    </r>
    <r>
      <rPr>
        <sz val="14"/>
        <rFont val="Times New Roman"/>
        <family val="1"/>
      </rPr>
      <t xml:space="preserve"> mb sieci o przekroju Ø 200, 2 studnie zbiorcze.</t>
    </r>
  </si>
  <si>
    <r>
      <t>14. Wykonano remont pokrycia dachu na budynku Gminnego Ośrodka Zdrowia w Kaźmierzu: 435m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 xml:space="preserve"> dachu, pokrycie papą termozgrzewalną, wymiana rynien.</t>
    </r>
  </si>
  <si>
    <t>5.      Wykonano oświetlenie drogowe przy ul. Nowowiejskiej w Kaźmierzu. Wybudowano linię kablową, 13 słupów oświetleniowych wysokości 10m z wysięgnikami typu SW10 z oprawami SGS 102/150-źródło światła SON-T 150W  oraz 6 słupów o wysokości 6m z wysięgnikami SW6 oraz oprawami SGS 101/070 – źródło światła SON-T 70W</t>
  </si>
  <si>
    <t>Gaz (na potrzeby kuchni)</t>
  </si>
  <si>
    <t>Opłaty</t>
  </si>
  <si>
    <t>Koszty amortyzacji środków trwałych</t>
  </si>
  <si>
    <t>darowizna na "Przegląd Twórczości Seniorów"</t>
  </si>
  <si>
    <t>Wykonanie planu na dzień 31.12.2007 r.</t>
  </si>
  <si>
    <t>- opłata za abonament RTV, ZAIKS</t>
  </si>
  <si>
    <t>Wykonanie planu przychodów i kosztów Gminnego Ośrodka Kultury w Kaźmierzu na dzień 31.12.2007 r.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</si>
  <si>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materiałów i usług remontowych dotyczocych świetlic wielskich (kostka brukowa na remont parkingu  prz świetlicy wiejskiej w Dolnym Polu, remont kuchni w świetlicy w Kopaninie, remont wykupionego budynku świetlicy w Młodasku, stoły do świetlicy w Radzynach, ogrodzenie w Chlewiskach, stolarka okienna w Komorowie, remont pokrycia dachowego w Gaju Wielkim i Gorszewicach, remont łazienek w Kopaninie)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</si>
  <si>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gablot informacyjnych dla sołectw Kaźmierz, Gaj Wielki, Młodasko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</si>
  <si>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samochodu policyjnego</t>
    </r>
  </si>
  <si>
    <t>- odsetki od pożyczki Umowa Nr 71/P/OW-ks/I/07 na inwestycję pn."Budowa sieci kanalizacji sanitarnej w Piersku"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</si>
  <si>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nagrody i wydatki osobowe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</si>
  <si>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wynagrodzenia osobowe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</si>
  <si>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dodatkowe wynagrodzenia roczne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</si>
  <si>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składki na ubezpieczenie społeczne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</si>
  <si>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składki na Fundusz Pracy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</si>
  <si>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wynagrodzenia bezosobowe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</si>
  <si>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materiały i wyposażenie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</si>
  <si>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energii, wody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</si>
  <si>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usług pozostałych</t>
    </r>
  </si>
  <si>
    <t>w tym: czynsz lokalowy, usługi telekomunikacyjne, pocztowe, udział w szkoleniach, prowizje bankowe, wywóz śmieci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</si>
  <si>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usług remontowych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</si>
  <si>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podróże służbowe krajowe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</si>
  <si>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odpis na Zakładowy Fundusz Świadczeń Socjalnych</t>
    </r>
  </si>
  <si>
    <t xml:space="preserve">Usuwanie skutków klęsk żywiołowych </t>
  </si>
  <si>
    <t>Wypłacono 92 świadczenia dla 92 rodzin</t>
  </si>
  <si>
    <t>-     ze środków własnych gminy</t>
  </si>
  <si>
    <t>-     ze środków rezerwy celowej z budżetu państwa</t>
  </si>
  <si>
    <t>854  EDUKACYJNA OPIEKA WYCHOWAWCZA</t>
  </si>
  <si>
    <r>
      <t>900</t>
    </r>
    <r>
      <rPr>
        <b/>
        <u val="single"/>
        <sz val="12"/>
        <rFont val="Times New Roman"/>
        <family val="1"/>
      </rPr>
      <t xml:space="preserve">  GOSPODARKA MIESZKANIOWA ORAZ NIEMATERIALNE USŁUGI KOMUNALNE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</si>
  <si>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utrzymanie oświetlenia ulicznego (energia, konserwacja, materiały)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</si>
  <si>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utrzymanie bezpańskich psów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</si>
  <si>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bieżące utrzymanie toalet publicznych (energia, woda,gaz, obsługa)</t>
    </r>
  </si>
  <si>
    <t>921  KULTURA I OCHRONA DZIEDZICTWA NARODOWEGO</t>
  </si>
  <si>
    <t>Środki przekazano w formie dotacji dla:</t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</si>
  <si>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>Gminnego Ośrodka Kultury w Kaźmierzu</t>
    </r>
  </si>
  <si>
    <t>W  roku  2007 spłaty rat kapitałowych odbywały się zgodnie z harmonogramem określonym w umowach kredytowych i pożyczkowych. Zarząd Wojewódzkiego Funduszu Ochrony Środowiska i Gospodarki Wodnej w Poznaniu z dniem 21.06.2007 umorzył Gminie ostatnią ratę pożyczki w kwocie 20.225,00, co wpłynęło na zmniejszenie planu rozchodów.</t>
  </si>
  <si>
    <t>Stan konta bankowego na 31.12.2007</t>
  </si>
  <si>
    <t>Gimnazjum w Kaźmierzu</t>
  </si>
  <si>
    <t>Wpływy z kapitalizacji odsetek bankowych, dobrowolne wpłaty.</t>
  </si>
  <si>
    <t>Zakup materiałów i wyposażenia, pomocy dydaktycznych, prowizje bankowe</t>
  </si>
  <si>
    <t>Wykonanie dochodów/wydatków w 2007 roku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</si>
  <si>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wynagrodzenia pracowników Urzędu Gminy  wraz z pochodnymi, dwie odprawy emerytalne oraz dodatkowe wynagrodzenie roczne, delegacje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</si>
  <si>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sprzętu komputerowego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</si>
  <si>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wydatki związane z promocją gminy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</si>
  <si>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 zestawu komputerowego dla gminnej formacji OC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</si>
  <si>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remont dachu strażnicy w  Bytyniu, modernizacja systemu alarmowego w strażnicy w Kaźmierzu, remont budynku strażnicy w Gaju Wielkim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</si>
  <si>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mundurów, obuwia oraz drobnego sprzętu dla gminnych jednostek OSP (łańcuch do pilarki, lampy błyskowe)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</si>
  <si>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figury patrona Strażaków</t>
    </r>
  </si>
  <si>
    <t>- koszty składu, wydruku, kserokopii afiszy, plakatów informacyjnych i reklamowych dla GOK</t>
  </si>
  <si>
    <t>Oprawy muzyczne imprez artystycznych, koncerty, dożynki</t>
  </si>
  <si>
    <t>- koszty organizacji koncertów edukacyjnych, estradowych, widowisk teatralnych, audycji muzycznych, recitalu na Kaziuki, obsługi muzycznej imprez</t>
  </si>
  <si>
    <t>Usługi bankowe</t>
  </si>
  <si>
    <t>- koszty bankowej obsługi rachunku bieżącego GOK</t>
  </si>
  <si>
    <t>Inne usługi</t>
  </si>
  <si>
    <t>- koszty patrolowania obiektu GOK, czynszu za barek i pompkę Daru Natury, przeglądu gaśnic, wywołania zdjęć z imprez kulturalnych, usług kominiarskich, prac malarskich w sali GOK (1200 zł), szkolenia z rachunkowości</t>
  </si>
  <si>
    <t>Wynagrodzenia:</t>
  </si>
  <si>
    <t>- koszty wynagrodzenia pracowników bez pochodnych</t>
  </si>
  <si>
    <t>-koszty wynagrodzenia z tytułu umów zlecenia (prowadzenie księgowości 4200zł; koncerty operetkowe 2500 zł, malowanie elewcji GOK 1600 zł, prowadzenie zajęć plastycznych 320 zł,  warsztaty gitarowe 300 zł);                                                                                        - koszty wynagrodzenia z tytułu umów o dzieło (występ cyrkowy 1000 zł)</t>
  </si>
  <si>
    <t xml:space="preserve"> - pochodne od wynagrodzeń pracowników zatrudnionych na umowę o pracę, na umowę zlecenie i o dzieło</t>
  </si>
  <si>
    <t>Odpis na ZFŚS</t>
  </si>
  <si>
    <t>delegacje pracowników</t>
  </si>
  <si>
    <t>- koszty delegacji służbowych pracowników</t>
  </si>
  <si>
    <t>ryczałty samochodowe</t>
  </si>
  <si>
    <t>- koszty używania prywatnych samochodów do celów służbowych</t>
  </si>
  <si>
    <t>Ubezpieczenie budynku i wyposażenia</t>
  </si>
  <si>
    <t>- koszty ubezpieczenia OC budynku GOK i wyposażenia</t>
  </si>
  <si>
    <t xml:space="preserve">Razem </t>
  </si>
  <si>
    <t>z działalności kulturalnej</t>
  </si>
  <si>
    <t>- przychody z opłaty za ognisko muzyczne, kółko dziennikarskie</t>
  </si>
  <si>
    <t>z wynajmu sali</t>
  </si>
  <si>
    <t>zobowiązania z tytułu pochodnych od wynagrodzeń oraz "13" wynagrodzenia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</si>
  <si>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wydatki poniesione na działalność i utrzymanie Urzędu Gminy (opłaty pocztowe i telekomunikacyjne, za energię elektryczną i gaz oraz opłaty bankowe, zakup materiałów biurowych, środki czystości i BHP, szkolenia pracowników, czasopisma i literatura fachowa, opłaty członkowskie, ubezpieczenia, przegląd, naprawa i konserwacja wyposażenia i urządzeń)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</si>
  <si>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wydatki związane z organizacją imprez okolicznościowych: Dzień Dziecka, Dzień Kobiet, Dzień Seniora, integracyjne i  rekreacyjne na terenie sołectw gminnych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</si>
  <si>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działalność świetlicy gminnej przy ul.Prusa (LOK)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</si>
  <si>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budowa świetlicy wiejskiejw m.Kiączyn</t>
    </r>
  </si>
  <si>
    <r>
      <t>751</t>
    </r>
    <r>
      <rPr>
        <b/>
        <u val="single"/>
        <sz val="12"/>
        <rFont val="Times New Roman"/>
        <family val="1"/>
      </rPr>
      <t xml:space="preserve"> URZĘDY NACZELNYCH ORGANÓW WŁADZY PAŃSTWOWEJ, KONTROLI I OCHRONY PRAWA ORAZ SĄDOWNICTWA</t>
    </r>
  </si>
  <si>
    <t>- realizacja zadań rządowych zleconych gminom</t>
  </si>
  <si>
    <r>
      <t>754</t>
    </r>
    <r>
      <rPr>
        <b/>
        <sz val="7"/>
        <rFont val="Times New Roman"/>
        <family val="1"/>
      </rPr>
      <t xml:space="preserve">    </t>
    </r>
    <r>
      <rPr>
        <b/>
        <u val="single"/>
        <sz val="12"/>
        <rFont val="Times New Roman"/>
        <family val="1"/>
      </rPr>
      <t>BEZPIECZEŃSTWO PUBLICZNE I OCHRONA PRZECIWPOŻAROWA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</si>
  <si>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paliwo dla miejscowej jednostki policji (Umowa z Komendą Wojewódzką Policji  z dnia 02.02.2006 r.)</t>
    </r>
  </si>
  <si>
    <t xml:space="preserve">     -     dotacja celowa z budżetu na finansowanie lub dofinansowanie                                                                                                                                                                                                                                                                                                                                                     kosztów realizacji inwestycji i zakupów inwestycyjnych jednostek niezaliczanych do sektora finansów publicznych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</si>
  <si>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bieżące utrzymanie gminnych jednostek OSP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</si>
  <si>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organizację Turnieju Wiedzy Pożarniczej, Dnia Strażaka, spotkanie Młodzieżowych Drużyn Pożarniczych, zawodów strażackich</t>
    </r>
  </si>
  <si>
    <t>756 DOCHODY OD OSÓB PRAWNYCH, OD OSÓB FIZYCZNYCH I OD INNYCH JEDNOSTEK NIE POSIADAJĄCYCH OSOBOWOŚCI PRAWNEJ</t>
  </si>
  <si>
    <t>- inkaso sołtysów</t>
  </si>
  <si>
    <r>
      <t xml:space="preserve">- </t>
    </r>
    <r>
      <rPr>
        <sz val="12"/>
        <rFont val="Times New Roman"/>
        <family val="1"/>
      </rPr>
      <t>zakup druków</t>
    </r>
  </si>
  <si>
    <t xml:space="preserve">           89,67</t>
  </si>
  <si>
    <r>
      <t xml:space="preserve">- </t>
    </r>
    <r>
      <rPr>
        <sz val="12"/>
        <rFont val="Times New Roman"/>
        <family val="1"/>
      </rPr>
      <t>opłaty komornicze</t>
    </r>
  </si>
  <si>
    <t xml:space="preserve">757 OBSŁUGA PAPIERÓW WARTOŚCIOWYCH, KREDYTÓW I POŻYCZEK  JEDNOSTEK SAMORZĄDU TERYTORIALNEGO </t>
  </si>
  <si>
    <t>- odsetki kredytowe Umowa Nr 05/0839/FRIK/2005 ze środków Funduszu Rozwoju Inwestycji Komunalnych na inwestycję pn."Budowa gimnazjum wraz z salą gimnastyczną w Kaźmierzu".</t>
  </si>
  <si>
    <r>
      <t xml:space="preserve">Dochody za:                                                                                     * wpis do ewidencji działalności gospodarczej </t>
    </r>
    <r>
      <rPr>
        <b/>
        <sz val="8"/>
        <rFont val="Times New Roman CE"/>
        <family val="1"/>
      </rPr>
      <t>7.000,00</t>
    </r>
    <r>
      <rPr>
        <sz val="8"/>
        <rFont val="Times New Roman CE"/>
        <family val="1"/>
      </rPr>
      <t xml:space="preserve">                                                                                                             * zajęcie pasa drogowego </t>
    </r>
    <r>
      <rPr>
        <b/>
        <sz val="8"/>
        <rFont val="Times New Roman CE"/>
        <family val="1"/>
      </rPr>
      <t>1.687,57</t>
    </r>
    <r>
      <rPr>
        <sz val="8"/>
        <rFont val="Times New Roman CE"/>
        <family val="1"/>
      </rPr>
      <t xml:space="preserve">                                                                                           * opłaty adiacenckie podziałowa </t>
    </r>
    <r>
      <rPr>
        <b/>
        <sz val="8"/>
        <rFont val="Times New Roman CE"/>
        <family val="1"/>
      </rPr>
      <t>806.816,40</t>
    </r>
    <r>
      <rPr>
        <sz val="8"/>
        <rFont val="Times New Roman CE"/>
        <family val="1"/>
      </rPr>
      <t xml:space="preserve">                                                                     * opłaty planistyczne </t>
    </r>
    <r>
      <rPr>
        <b/>
        <sz val="8"/>
        <rFont val="Times New Roman CE"/>
        <family val="1"/>
      </rPr>
      <t xml:space="preserve">305.559,16 </t>
    </r>
    <r>
      <rPr>
        <sz val="8"/>
        <rFont val="Times New Roman CE"/>
        <family val="1"/>
      </rPr>
      <t xml:space="preserve">(zaległości 184.305,46)                                                                              * inne </t>
    </r>
    <r>
      <rPr>
        <b/>
        <sz val="8"/>
        <rFont val="Times New Roman CE"/>
        <family val="1"/>
      </rPr>
      <t>53.088,32</t>
    </r>
  </si>
  <si>
    <t>Środki z rezerwy subwencji ogólnej na uzupełnienie dochodów gminy ( pismo Ministra Finansów znak ST3-4822-1/2007 z dnia 26.10.2007 r.)</t>
  </si>
  <si>
    <t>Subwencja oświatowa (załącznik do pisma Ministra Finansów z dnia 11.10.2006 r., znak ST3-4820-25/2006 i załącznik do pisma Ministra Finansów z dnia 12.02.2007 r., znak ST3-4820-3/2007, pisma Ministra Finansów z dnia 27.06.2007, znak ST5-4822-4g/2007,z dnia 22.11.2007 r. znak ST5-4822-27g/BKU/07)</t>
  </si>
  <si>
    <t>Nadwyżka środków obrotowych Zakładu Usług Komunalnych w Kaźmierzu</t>
  </si>
  <si>
    <t>Subwencja wyrównawcza (załącznik do pisma Ministra Finansów z dnia 11.10.2006 r., znak ST3-4820-25/2006 i załącznik do pisma Ministra Finansów z dnia 12.02.2007 r., znak ST3-4820-3/2007)</t>
  </si>
  <si>
    <t>Subwencja równoważąca (załącznik do pisma Ministra Finansów z dnia 11.10.2006 r., znak ST3-4820-25/2006 i załącznik do pisma Ministra Finansów z dnia 12.02.2007 r., znak ST3-4820-3/2007, pismo Ministra Finansów z dnia 15.03.2007 r., znak ST3-4820-6/2007/507)</t>
  </si>
  <si>
    <t>Dotacja na sfinansowanie nauczania języka angielskiego w klasie pierwszej szkoły podstawowej w roku szkolnym 2006/2007, w okresie styczeń-sierpień 2007 (pismo Wojewody Wielkopolskiego, znak FB.I-3.3011-210/07 z dnia 02.05.2007, znak FB.I-3.3011-483/07 z dnia 06.09.2007 r.)</t>
  </si>
  <si>
    <r>
      <t xml:space="preserve">1.Dotacja na dofinansowanie pracodawcom kosztów przygotowania zawodowego młodocianych pracowników </t>
    </r>
    <r>
      <rPr>
        <b/>
        <sz val="8"/>
        <rFont val="Times New Roman CE"/>
        <family val="0"/>
      </rPr>
      <t>57.146,00</t>
    </r>
    <r>
      <rPr>
        <sz val="8"/>
        <rFont val="Times New Roman CE"/>
        <family val="0"/>
      </rPr>
      <t xml:space="preserve"> (pisma Wojewody Wielkopolskiego, znak FB.I-3.3011-278/07 z dn.25.06.2007 r., znak FB.I-6.3011-484/07 z dn.01.10.2007 r., znak FB.I-7.3011-599/07 z dn.26.10.2007 r., znak FB.I-6.3011-763/07 z dn.21.12.2007 r.)                                                                                2.Dotacja na dofinansowanie zakupu lektur do bibliotek szkolnych szkół podstawowych i gimnazjów położonych na terenach wiejskich </t>
    </r>
    <r>
      <rPr>
        <b/>
        <sz val="8"/>
        <rFont val="Times New Roman CE"/>
        <family val="0"/>
      </rPr>
      <t>2.230,00</t>
    </r>
    <r>
      <rPr>
        <sz val="8"/>
        <rFont val="Times New Roman CE"/>
        <family val="0"/>
      </rPr>
      <t xml:space="preserve"> (pismo Wojewody Wielkopolskiego, znak FB.I-6.3011-614/07 z dn.29.10.2007 r.)                                                                                  3. Dotacja na sfinansowanie prac komisji kwalifikacyjnych i egzaminacyjnych powołanych do rozpatrzenia wniosków nauczycieli o wyższy stopień awansu zawodowego </t>
    </r>
    <r>
      <rPr>
        <b/>
        <sz val="8"/>
        <rFont val="Times New Roman CE"/>
        <family val="0"/>
      </rPr>
      <t>360,00</t>
    </r>
    <r>
      <rPr>
        <sz val="8"/>
        <rFont val="Times New Roman CE"/>
        <family val="0"/>
      </rPr>
      <t xml:space="preserve"> (pismo Wojewody Wielkopolskiego, znak FB.I-6.3011-610/07 z dn.25.10.2007 r.)</t>
    </r>
  </si>
  <si>
    <r>
      <t>·</t>
    </r>
    <r>
      <rPr>
        <sz val="7"/>
        <rFont val="Times New Roman"/>
        <family val="1"/>
      </rPr>
      <t>       </t>
    </r>
    <r>
      <rPr>
        <sz val="12"/>
        <rFont val="Times New Roman"/>
        <family val="1"/>
      </rPr>
      <t>szkolne programy profilaktyczne</t>
    </r>
  </si>
  <si>
    <r>
      <t>·</t>
    </r>
    <r>
      <rPr>
        <sz val="7"/>
        <rFont val="Times New Roman"/>
        <family val="1"/>
      </rPr>
      <t>       </t>
    </r>
    <r>
      <rPr>
        <sz val="12"/>
        <rFont val="Times New Roman"/>
        <family val="1"/>
      </rPr>
      <t>półkolonie zimowe</t>
    </r>
  </si>
  <si>
    <t>852  POMOC SPOŁECZNA</t>
  </si>
  <si>
    <t>Zasiłki rodzinne i dodatki do zasiłków</t>
  </si>
  <si>
    <r>
      <t>-</t>
    </r>
    <r>
      <rPr>
        <sz val="7"/>
        <rFont val="Times New Roman"/>
        <family val="1"/>
      </rPr>
      <t>    </t>
    </r>
    <r>
      <rPr>
        <sz val="12"/>
        <rFont val="Times New Roman"/>
        <family val="1"/>
      </rPr>
      <t>dodatki do zasiłków rodzinnych z tytułu: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</si>
  <si>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 xml:space="preserve">samotnego wychowywania dziecka i utraty prawa do zasiłku dla bezrobotnych na skutek upływu ustawowego okresu jego pobierania </t>
    </r>
  </si>
  <si>
    <t>-   składki ubezpieczenia społecznego</t>
  </si>
  <si>
    <r>
      <t xml:space="preserve">-   </t>
    </r>
    <r>
      <rPr>
        <sz val="12"/>
        <rFont val="Times New Roman"/>
        <family val="1"/>
      </rPr>
      <t>koszty obsługi świadczeń rodzinnych i zaliczek alimentacyjnych (wynagrodzenia, szkolenia, opłaty bankowe, artykuły biurowe)</t>
    </r>
  </si>
  <si>
    <r>
      <t>-</t>
    </r>
    <r>
      <rPr>
        <sz val="7"/>
        <rFont val="Times New Roman"/>
        <family val="1"/>
      </rPr>
      <t>    </t>
    </r>
    <r>
      <rPr>
        <sz val="12"/>
        <rFont val="Times New Roman"/>
        <family val="1"/>
      </rPr>
      <t xml:space="preserve">składki na ubezpieczenie zdrowotne </t>
    </r>
  </si>
  <si>
    <r>
      <t>Zadania zlecone</t>
    </r>
    <r>
      <rPr>
        <sz val="12"/>
        <rFont val="Times New Roman"/>
        <family val="1"/>
      </rPr>
      <t xml:space="preserve">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</si>
  <si>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zasiłki okresowe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</si>
  <si>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zasiłki specjalne celowe</t>
    </r>
  </si>
  <si>
    <t>-      zasiłki na opał</t>
  </si>
  <si>
    <t>-      zasiłki na żywność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</si>
  <si>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leki, leczenie</t>
    </r>
  </si>
  <si>
    <t>z tytułu rozrachunków z odbiorcami i dostawcami</t>
  </si>
  <si>
    <t>z tytułu podatku Vat</t>
  </si>
  <si>
    <t>z tytułu rozrachunków z pracownikami</t>
  </si>
  <si>
    <t>rozrachunki z budżetami z tytułu opłaty za korzystanie ze środowiska za II półrocze 2007 roku</t>
  </si>
  <si>
    <t>rozrachunki z tytułu podatku dochodowego od osób fizycznych</t>
  </si>
  <si>
    <t>rozrachunki publicznoprawne z tytułu składek ZUS</t>
  </si>
  <si>
    <t>rozrachunki z tytułu "13" wynagrodzenia</t>
  </si>
  <si>
    <t>Struktura wydatków inwestycyjnych w                                                                                          2007 roku</t>
  </si>
  <si>
    <t xml:space="preserve">Środki z kapitalizacji odsetek na kontcie bankowym. </t>
  </si>
  <si>
    <t>Inne dochody</t>
  </si>
  <si>
    <t>Pomoc społeczna</t>
  </si>
  <si>
    <t>Świadczenia rodzinne, zaliczka alimentacyjna oraz składki na ubezpieczenia emerytalne i rentowe z ubezpieczenia społecznego</t>
  </si>
  <si>
    <t>Dochody jednostek samorządu terytorialnego związane z realizacją zadań z zakresu administracji rządowej oraz innych zadań zleconych ustawami</t>
  </si>
  <si>
    <t>5% kwoty zaplanowanej przez Wojewodę Wielkopolskiego (pisma Wojewody Wielkopolskiego z dnia 23.10.2006 r., znak FB.I-3.3010-28/06 i z dnia 19.02.2007 r., znak FB.I-2.3010-6/07)</t>
  </si>
  <si>
    <t>Urzędy gmin</t>
  </si>
  <si>
    <t>0690</t>
  </si>
  <si>
    <t>Wpływy z różnych opłat</t>
  </si>
  <si>
    <t>Urzędy naczelnych organów władzy państwowej, kontroli i ochrony prawa i sądownictwa</t>
  </si>
  <si>
    <t>Urzędy naczelnych organów władzy państwowej, kontroli i ochrony prawa</t>
  </si>
  <si>
    <t>Dotacja na prowadzenie stałego rejestru wyborców w 2007 r. (pisma Krajowego Biura Wyborczego Delegatura w Pile z dnia 18.10.2006 r, znak DPL 3101-10/06 i z dnia 19.02.2007 r., znak DPL 3101-6/07)</t>
  </si>
  <si>
    <t>Wybory Prezydenta RP</t>
  </si>
  <si>
    <t>Wybory do Sejmu i Senatu</t>
  </si>
  <si>
    <t>Bezpieczeństwo publiczne i ochrona przeciwpożarowa</t>
  </si>
  <si>
    <t>Obrona cywilna</t>
  </si>
  <si>
    <t>Zał.nr 6</t>
  </si>
  <si>
    <t>DOCHODY I WYDATKI  DOCHODÓW WŁASNYCH JEDNOSTEK BUDŻETOWYCH</t>
  </si>
  <si>
    <t>ZBIORÓWKA</t>
  </si>
  <si>
    <t>DOCHODY</t>
  </si>
  <si>
    <t>Wpływy z opłat za żywienie, kapitalizacja odsetek bankowych, dobrowolne wpłaty.</t>
  </si>
  <si>
    <t>0960</t>
  </si>
  <si>
    <t>Otrzymane spadki, zapisy i darowizny w postaci pieniężnej</t>
  </si>
  <si>
    <t>Zakup artykułów spożywczych, wyposażenia kuchni, pomocy dydaktycznych,</t>
  </si>
  <si>
    <t>Zakup środków żywności</t>
  </si>
  <si>
    <t>DOCHODY OGÓŁEM</t>
  </si>
  <si>
    <t>Zał.do zał.nr 6</t>
  </si>
  <si>
    <t>Przedszkole w Kaźmierzu</t>
  </si>
  <si>
    <t>Szkoła Podstawowa Bytyń</t>
  </si>
  <si>
    <t>Szkoła Podstawowa Gaj Wielki</t>
  </si>
  <si>
    <t>Szkoła Podstawowa Kaźmierz</t>
  </si>
  <si>
    <t>Zakup artykułów spożywczych, prowizje bankowe.</t>
  </si>
  <si>
    <t>Zakup artykułów spożywczych, prowizje bankowe</t>
  </si>
  <si>
    <t>Zakup artykułów spożywczych, prowizji bankowych, zakup artykułów papierniczych.</t>
  </si>
  <si>
    <t>Zakup artykułów spożywczych, wyposażenia kuchni, pomocy dydaktycznych, prowizje bankowe</t>
  </si>
  <si>
    <t>SPRAWOZDANIE Z DZIAŁALNOŚCI</t>
  </si>
  <si>
    <t>ZAKŁADU USŁUG KOMUNALNYCH</t>
  </si>
  <si>
    <t>W KAŹMIERZU</t>
  </si>
  <si>
    <r>
      <t>·</t>
    </r>
    <r>
      <rPr>
        <sz val="7"/>
        <rFont val="Times New Roman"/>
        <family val="1"/>
      </rPr>
      <t>       </t>
    </r>
    <r>
      <rPr>
        <sz val="12"/>
        <rFont val="Times New Roman"/>
        <family val="1"/>
      </rPr>
      <t>zakup mebli do świetlicy profilaktycznej w Bytyniu</t>
    </r>
  </si>
  <si>
    <r>
      <t>·</t>
    </r>
    <r>
      <rPr>
        <sz val="7"/>
        <rFont val="Times New Roman"/>
        <family val="1"/>
      </rPr>
      <t>       </t>
    </r>
    <r>
      <rPr>
        <sz val="12"/>
        <rFont val="Times New Roman"/>
        <family val="1"/>
      </rPr>
      <t>paliwo dla policji na doprowadzenie i konwojowanie osób zatrzymanych do izby wytrzeźwień oraz sądów, prokuratur i punktu kosultacyjnego GKRPA ( Umowa darowizny z dnia 05.04.2007 roku)</t>
    </r>
  </si>
  <si>
    <r>
      <t>·</t>
    </r>
    <r>
      <rPr>
        <sz val="7"/>
        <rFont val="Times New Roman"/>
        <family val="1"/>
      </rPr>
      <t>       </t>
    </r>
    <r>
      <rPr>
        <sz val="12"/>
        <rFont val="Times New Roman"/>
        <family val="1"/>
      </rPr>
      <t>pozostałe (szkolenia, wydawnictwa fachowe, delegacje, wydatki na bieżącą działalność świetlic i punktów profilaktycznych)</t>
    </r>
  </si>
  <si>
    <t>2. Remont budynku Ośrodka Zdrowia w Kaźmierzu:</t>
  </si>
  <si>
    <t>- remont dachu</t>
  </si>
  <si>
    <t>- remont chodnika przed ośrodkiem</t>
  </si>
  <si>
    <t>- wymiana stolarki okiennej</t>
  </si>
  <si>
    <t>1. Działalność Gminnej Komisji Rozwiązywania Problemów Alkoholowych</t>
  </si>
  <si>
    <r>
      <t xml:space="preserve">-   </t>
    </r>
    <r>
      <rPr>
        <sz val="12"/>
        <rFont val="Times New Roman"/>
        <family val="1"/>
      </rPr>
      <t>zaliczki alimentacyjne ( 517 zaliczek)</t>
    </r>
  </si>
  <si>
    <r>
      <t>-</t>
    </r>
    <r>
      <rPr>
        <sz val="7"/>
        <rFont val="Times New Roman"/>
        <family val="1"/>
      </rPr>
      <t>      </t>
    </r>
    <r>
      <rPr>
        <sz val="12"/>
        <rFont val="Times New Roman"/>
        <family val="1"/>
      </rPr>
      <t>zasiłki rodzinne (10 490 świadczeń)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</si>
  <si>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urodzenia dziecka (42 świadczeń)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</si>
  <si>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opieki nad dzieckiem w okresie korzystania z urlopu wychowawczego (415 świadczeń)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</si>
  <si>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samotnego wychowywania dziecka w kwocie zwiększonej na podst.art.11a ust.3 i 4 ustawy (485 świadczeń)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</si>
  <si>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kształcenia i rehabilitacji dziecka niepełnosprawnego powyżej 5 roku życia ( 387 świadczeń)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</si>
  <si>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rozpoczęcie roku szkolnego ( 577 świadczeń)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</si>
  <si>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na pokrycie wydatków związanych z zamieszkaniem w miejscowości, w której znajduje się szkoła ( 96 świadczeń)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</si>
  <si>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na pokrycie wydatków związanych z dojazdem do miejscowości, w której znajduje się szkoła ( 1 324 świadczeia)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</si>
  <si>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wychowywanie dziecka w rodzinie wielodzietnej (1 754 świadczeń)</t>
    </r>
  </si>
  <si>
    <t>-  zasiłki pielęgnacyjne ( 1 294 świadczenia)</t>
  </si>
  <si>
    <r>
      <t xml:space="preserve">-   </t>
    </r>
    <r>
      <rPr>
        <sz val="12"/>
        <rFont val="Times New Roman"/>
        <family val="1"/>
      </rPr>
      <t>świadczenia pielęgnacyjne (166 świadczeń)</t>
    </r>
  </si>
  <si>
    <r>
      <t xml:space="preserve">-   </t>
    </r>
    <r>
      <rPr>
        <sz val="12"/>
        <rFont val="Times New Roman"/>
        <family val="1"/>
      </rPr>
      <t>jednorazowe zapomogi z tytułu urodzenia dziecka ( 96 świadczeń)</t>
    </r>
  </si>
  <si>
    <t xml:space="preserve">- stypendia szkolne ( 142 świadczeni stypendialne dla uczniów szkół podstawowych i gimnazjalnych </t>
  </si>
  <si>
    <t>1. Pomoc materialna o charakterze socjalnym:</t>
  </si>
  <si>
    <t>2. Pomoc materialna o charakterze edukacyjnym w ramach programu "Wyrównywanie szans"</t>
  </si>
  <si>
    <t>3. Zakup jednolitego stroju dla uczniów szkół podstawowych i gimnazjalnych</t>
  </si>
  <si>
    <t>-      uzupełnienie opraw oświetleniowych na terenie gminy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</si>
  <si>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artykułów i strojów  sportowych, broni oraz kabiny prysznicowej i krzeseł do obiektów sportowych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</si>
  <si>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foteli na boisko sportowe w Kaźmierzu</t>
    </r>
  </si>
  <si>
    <t>Odpisy na Zakładowy Fundusz Świadczeń Socjalnych</t>
  </si>
  <si>
    <t>-  odpis na ZFŚS,</t>
  </si>
  <si>
    <t>Podatek od towarów i usług</t>
  </si>
  <si>
    <t>- podatek od towarów i usług - kosztowy</t>
  </si>
  <si>
    <t>Odsetki od nieterminowych wpłat z tytułu pozostałych podatków i opłat</t>
  </si>
  <si>
    <t>- odsetki za nieterminową zapłatę opłaty za trwały zarząd,</t>
  </si>
  <si>
    <t>Wydatki na zakupy inwestycyjne zakładów budżetowych</t>
  </si>
  <si>
    <t>- zakup ubijaka WACKER BS 60-2i 280mm (8 823,00 zł) i samochodu używanego marki Volkswagen Transporter T4 D (17 000,00 zł)</t>
  </si>
  <si>
    <t>- wynagrodzenia wraz z pochodnymi od wynagrodzeń i inne świadczenia na rzecz pracowników objęte przepisami BHP,</t>
  </si>
  <si>
    <t>x</t>
  </si>
  <si>
    <t>- opłaty za korzystanie ze środowiska przekazywane do Urzędu Marszałkowskiego w Poznaniu, ubezpieczenie pojazdów,</t>
  </si>
  <si>
    <t>- utrzymanie bieżące 3 oczyszczalni ścieków, przepompowni ścieków oraz sieci kanalizacji sanitarnej, w tym: zakup 2 pomp ściekowych do oczyszczalni w Kaźmierzu i Witkowicach, naprawa pomp, mieszadła ściekowego, transport i odwadnianie osadów nadmiernych do Zakładu Gospodarki Komunalnej w Szamotułach, badanie ścieków i osadów, budowa przyłączy kanalizacyjnych, utrzymanie ciągników i beczkowozu do wywozu nieczystości płynnych, odprowadzania ścieków z rejonu ul.Łąkowej i Leśnej do oczyszczalni Hochland w Kaźmierzu, konserwacja cieku do oczyszczalni w Witkowicach, czyszczenie i odmulanie osadów miękkich, wykonanie projektów sieci kanalizacji sanitarnej, inwentaryzacji sieci kanalizacji sanitarnej,</t>
  </si>
  <si>
    <t>- opłaty za korzystanie ze środowiska przekazywane do Urzędu Marszałkowskiego w Poznaniu,  opłata za trwały zarząd, opłaty za umieszczenie sieci kanalizacyjnych w pasie drogowym, ubezpieczenia pojazdów</t>
  </si>
  <si>
    <t>- komputerek inkasenta PSION WORKABOUT Pro 64/64/RS232 Mono z pokrowcem</t>
  </si>
  <si>
    <t>- podróże służbowe,</t>
  </si>
  <si>
    <t>- opłaty za korzystanie ze środowiska przekazywane do Urzędu Marszałkowskiego w Poznaniu, ubezpieczenie budynków, trwały zarząd,</t>
  </si>
  <si>
    <t>- podatek od nieruchomości - budynków komunalnych,</t>
  </si>
  <si>
    <t>- podatek od towarów i usług - kosztowy,</t>
  </si>
  <si>
    <t>Składki na ubezpieczenia społeczne</t>
  </si>
  <si>
    <t>- utrzymanie samochodu asenizacyjnego, śmieciarki, opłaty za składowanie niesegregowanych odpadów komunalnych na wysypisku w Rumianku,</t>
  </si>
  <si>
    <t>- opłaty na rzecz Urzędu Marszałkowskiego za składowanie odpadów na wysypisku w Rumianku, ubezpieczenie pojazdów, podatek od środków transportu,</t>
  </si>
  <si>
    <t>Utrzymanie zieleni w miastach i gminach</t>
  </si>
  <si>
    <t>- wynagrodzenia wraz z pochodnymi od wynagrodzeń i inne świadczenia na rzecz pracownika objęte przepisami BHP,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</si>
  <si>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</si>
  <si>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</si>
  <si>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</si>
  <si>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</si>
  <si>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Wpływy z podatku opłacanego w formie karty podatkowej. Wykonanie zgodne ze sprawozdaniem Urzędu Skarbowego.</t>
  </si>
  <si>
    <t>Odsetki od nieterminowych wpłat  podatku opłacanego w formie karty podatkowej. Wykonanie zgodne ze sprawozdaniem Urzędu Skarbowego.</t>
  </si>
  <si>
    <t>Wpływ z podatku rolnego, podatku leśnego, podatku od czynności cywilnoprawnych, podatków i opłat lokalnych od osób prawnych i innych jednostek organizacyjnych</t>
  </si>
  <si>
    <t>0310</t>
  </si>
  <si>
    <t xml:space="preserve">         Podstawą gospodarki finansowej Zakładu Usług Komunalnych jest roczny plan finansowy, obejmujący przychody i wydatki stanowiące koszty działalności oraz stan środków obrotowych i rozliczenia z budżetem.</t>
  </si>
  <si>
    <t xml:space="preserve"> Zakład Usług Komunalnych wykonuje usługi w zakresie:</t>
  </si>
  <si>
    <t>w tym:</t>
  </si>
  <si>
    <t>- dochody bieżące</t>
  </si>
  <si>
    <t>- dochody majątkowe</t>
  </si>
  <si>
    <t xml:space="preserve">  6.314.316,90 zł</t>
  </si>
  <si>
    <t>16.201.660,13 zł</t>
  </si>
  <si>
    <t>- koszty abonentów i rozmów telefonicznych Biblioteki Publicznej w Kaźmierzu i filii bibliotecznmej w Gaju Wielkim, koszty połączeń internetowych</t>
  </si>
  <si>
    <t>- usługi pocztowe</t>
  </si>
  <si>
    <t>- opłaty za skrzynkę pocztową, abonament RTV, wysyłkę książek - wypożyczenia międzybiblioteczne</t>
  </si>
  <si>
    <t>- najem lokalu</t>
  </si>
  <si>
    <t>- koszty najmu pomieszczeń filii biblitecznych w Bytyniu i Gaju Wielkim</t>
  </si>
  <si>
    <t>- ochrona obiektu</t>
  </si>
  <si>
    <t>- koszty ochrony obiektu Biblioteki</t>
  </si>
  <si>
    <t>- naprawa sprzętu</t>
  </si>
  <si>
    <t>- pozostłe usługi</t>
  </si>
  <si>
    <t>Wynagrodzenia</t>
  </si>
  <si>
    <t>- osobowe</t>
  </si>
  <si>
    <t>- zlecenia</t>
  </si>
  <si>
    <t>- koszty wynagrodzenia z tytułu umów zlecenia, umów o dzieło  (prowadzenie księgowości, spotkania autorskie,</t>
  </si>
  <si>
    <t>Ubezpieczenia społeczne</t>
  </si>
  <si>
    <t xml:space="preserve">- koszty ubezpieczeń społecznych: emetalne, rentowe, wypadkowe oraz Fundusz Pracy </t>
  </si>
  <si>
    <t>Odpisy na ZFŚS</t>
  </si>
  <si>
    <t>- koszty odpisu na Zakładowy Fundusz Świadczeń Socjalnych</t>
  </si>
  <si>
    <t>Pozostałe świadczenia na rzecz pracowników</t>
  </si>
  <si>
    <t>- koszty świadczeń bhp (mydło, berbata, ręczniki), koszty zakupu wody Dar Natury</t>
  </si>
  <si>
    <t>Usługi bankowe i inne opłaty</t>
  </si>
  <si>
    <t>- koszty bankowej obsługi rachunku bankowego Biblioteki, prowizje od przelewów</t>
  </si>
  <si>
    <t>Podróże służbowe</t>
  </si>
  <si>
    <t>- koszty używania prywatnych samochowów do celów służbowych -  koszty delegacji,</t>
  </si>
  <si>
    <t>Pozostałe koszty</t>
  </si>
  <si>
    <t>Amortyzacja środków trwałych</t>
  </si>
  <si>
    <t>- koszty amortyzacji środków trwałych</t>
  </si>
  <si>
    <t>Razem</t>
  </si>
  <si>
    <t>Przychody</t>
  </si>
  <si>
    <t>Opis wykonania przychodów w 2007 roku</t>
  </si>
  <si>
    <t>Dotacja Urzędu Gminy w Kaźmierzu</t>
  </si>
  <si>
    <t>Przychody własne</t>
  </si>
  <si>
    <t>- z usług ksero</t>
  </si>
  <si>
    <t>-przychody z usług ksero</t>
  </si>
  <si>
    <t>- za internet</t>
  </si>
  <si>
    <t>- przychody za korzystanie z intenetu</t>
  </si>
  <si>
    <t>- za upomnienia</t>
  </si>
  <si>
    <t>-przychód za upomnienia</t>
  </si>
  <si>
    <t>- za kasety</t>
  </si>
  <si>
    <t>-odsetki od środków na rachunku bankowym</t>
  </si>
  <si>
    <t>- przychody finansowe z kapitalizacji odsetek od środków na rachunku bieżącym</t>
  </si>
  <si>
    <t>Zał.nr 9</t>
  </si>
  <si>
    <t>Zał. nr 10</t>
  </si>
  <si>
    <t>Zał.nr 10</t>
  </si>
  <si>
    <t xml:space="preserve">Plan                                </t>
  </si>
  <si>
    <t xml:space="preserve">WYKONANIE PLANU  </t>
  </si>
  <si>
    <t xml:space="preserve">Projekt planu na 2006 r.                                </t>
  </si>
  <si>
    <t>Korekta 1                                 z dnia 7.11.2005 r.</t>
  </si>
  <si>
    <t xml:space="preserve">- koszty wynagrodzeń i pochodnych od wynagrodzeń                                                                                    - koszty prowadzenia księgowości                                                                                           - koszty prac malarskich w budynku GOK i prac remontowych                                                                                       - koszty oprawy muzycznej imprez, koncertów autorskich                                                           </t>
  </si>
  <si>
    <t xml:space="preserve">% 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</si>
  <si>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</si>
  <si>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</si>
  <si>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</si>
  <si>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</si>
  <si>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</si>
  <si>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</si>
  <si>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</si>
  <si>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</si>
  <si>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</si>
  <si>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Wykonanie zgodne z sprawozdaniem Urzędu Skarbowego. Dochody trudne do oszacowania</t>
  </si>
  <si>
    <t>Wpływ z podatku rolnego, podatku leśnego, podatku od czynności cywilnoprawnych, podatku od spadków i darowizn, podatku od czynności cywilnoprawnych oraz podatków i opłat lokalnych od osób fizycznych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</si>
  <si>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w kwocie   </t>
    </r>
    <r>
      <rPr>
        <b/>
        <sz val="12"/>
        <rFont val="Times New Roman"/>
        <family val="1"/>
      </rPr>
      <t>15.643.143,00 zł</t>
    </r>
    <r>
      <rPr>
        <sz val="12"/>
        <rFont val="Times New Roman"/>
        <family val="1"/>
      </rPr>
      <t xml:space="preserve"> po stronie wydatków,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</si>
  <si>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w kwocie        </t>
    </r>
    <r>
      <rPr>
        <b/>
        <sz val="12"/>
        <rFont val="Times New Roman"/>
        <family val="1"/>
      </rPr>
      <t>421.656,00 zł</t>
    </r>
    <r>
      <rPr>
        <sz val="12"/>
        <rFont val="Times New Roman"/>
        <family val="1"/>
      </rPr>
      <t xml:space="preserve"> po stronie rozchodów.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</si>
  <si>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w kwocie        </t>
    </r>
    <r>
      <rPr>
        <b/>
        <sz val="12"/>
        <rFont val="Times New Roman"/>
        <family val="1"/>
      </rPr>
      <t>350.000,00 zł</t>
    </r>
    <r>
      <rPr>
        <sz val="12"/>
        <rFont val="Times New Roman"/>
        <family val="1"/>
      </rPr>
      <t xml:space="preserve"> po stronie przychodów,</t>
    </r>
  </si>
  <si>
    <t>Plan dochodów przeniesiony do 756-75618-0410  (Uchwała nr V/29/07 Rady Gminy Kaźmierz z dnia 02.03.2007 r.)</t>
  </si>
  <si>
    <t xml:space="preserve">Wykonanie zgodne z sprawozdaniem Urzędu Skarbowego. </t>
  </si>
  <si>
    <t>Wpływy z innych opłat stanowiących dochody jednostek samorządu terytorialnego na podstawie ustaw</t>
  </si>
  <si>
    <t>0410</t>
  </si>
  <si>
    <t>Wpływy z opłaty skarbowej</t>
  </si>
  <si>
    <t xml:space="preserve">Dochody z opłaty skarbowej </t>
  </si>
  <si>
    <t>0460</t>
  </si>
  <si>
    <t>Wpływy z opłaty eksploatacyjnej</t>
  </si>
  <si>
    <t>0480</t>
  </si>
  <si>
    <t>Wpływy z opłat za zezwolenie na sprzedaż alkoholu</t>
  </si>
  <si>
    <t>0490</t>
  </si>
  <si>
    <t>Wpływy z innych lokalnych opłat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</si>
  <si>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</si>
  <si>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</si>
  <si>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</si>
  <si>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różne opłaty i składki - ubezpieczenie sprzętu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</si>
  <si>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materiałów papierniczych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</si>
  <si>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zakupy inwestycyjne</t>
    </r>
  </si>
  <si>
    <t xml:space="preserve">Wypłacono 94 zasiłki celowe dla 44 rodzin </t>
  </si>
  <si>
    <t>Wydano 18 478 posiłków dla 305 osób</t>
  </si>
  <si>
    <t>Plan przychodów i kosztów Gminnej Biblioteki Publicznej w Kaźmierzu na rok 2007 i wykonanie na dzień 31.12.2007 r</t>
  </si>
  <si>
    <t>Wykonanie planu na dzień 31.12.07</t>
  </si>
  <si>
    <t>Opis poszczególnych kosztów w 2007 r.</t>
  </si>
  <si>
    <t>- koszty poniesione na zakup materiałow biurowych - tonery do kopiarki, drukarek, papier, kartoteki, druki biblioteczne , program antyviritp..</t>
  </si>
  <si>
    <t xml:space="preserve">- materiały na cele naprawcze, materiały dekoracyjne, artykuły spożywcze na spotkania autorskie, </t>
  </si>
  <si>
    <t>- koszty zakupu książek -  1.225  nowych woluminów</t>
  </si>
  <si>
    <t>- koszty zakupu gazu - ogrzewanie Biblioteki Publicznej i pomieszczeń kinowej</t>
  </si>
  <si>
    <t>-naprawa dachu, malowanie korytarza,wymiana oświetleniaw czytelni, remont centralnego ogrzewania,wymiana drzwi</t>
  </si>
  <si>
    <t>- konserwacja ksero, prace systemowe - komputery,przegląd pieca CO,przegląd gaśnic</t>
  </si>
  <si>
    <t>-koszty usług fotograficznych i pralniczych, spektaklu teatralnegodladzieci</t>
  </si>
  <si>
    <t>- koszty wynagrodzenia pracowników Biblioteki w Kaźmierzu, Bytyniu i Gaju Wielkim, łącznie z nagrodami jubileuszowmii odprawmi emerytalnyni</t>
  </si>
  <si>
    <t>-  opłata z tytułu trwałego użytkowania nieruchomości za 2007 rok 586,89, ubezpieczenie sprzętu</t>
  </si>
  <si>
    <t>Dotacja Urzędu Gminy w Kaźmierzu -</t>
  </si>
  <si>
    <t>Dotacja Ministerwa</t>
  </si>
  <si>
    <t>Dotacja Ministerwa Kultury</t>
  </si>
  <si>
    <t>-wypożyczaniekaset</t>
  </si>
  <si>
    <r>
      <t xml:space="preserve">Stan zobowiązań Biblioteki Publicznej Gminy Kaźmierz na dzień 31.12.2007 - </t>
    </r>
    <r>
      <rPr>
        <b/>
        <sz val="10"/>
        <rFont val="Times New Roman"/>
        <family val="1"/>
      </rPr>
      <t>5.009,16</t>
    </r>
    <r>
      <rPr>
        <sz val="10"/>
        <rFont val="Times New Roman"/>
        <family val="1"/>
      </rPr>
      <t xml:space="preserve">  (zobowiązania z tytułu ubezpieczeń społecznych). </t>
    </r>
  </si>
  <si>
    <r>
      <t xml:space="preserve">Stan środków pieniżęnych na koncie bankowym - </t>
    </r>
    <r>
      <rPr>
        <b/>
        <sz val="10"/>
        <rFont val="Times New Roman"/>
        <family val="1"/>
      </rPr>
      <t>119,64</t>
    </r>
    <r>
      <rPr>
        <sz val="10"/>
        <rFont val="Times New Roman"/>
        <family val="1"/>
      </rPr>
      <t xml:space="preserve"> zł. </t>
    </r>
  </si>
  <si>
    <t>% wykonania planu na dzień 31.12.2007</t>
  </si>
  <si>
    <t>Pomoc materialna dla uczniów</t>
  </si>
  <si>
    <t>Gospodarka komunalna i ochrona środowiska</t>
  </si>
  <si>
    <t>Fundusz Ochrony Środowiska i Gospodarki Wodnej</t>
  </si>
  <si>
    <t>0400</t>
  </si>
  <si>
    <t>Wpływy z opłaty produktowej</t>
  </si>
  <si>
    <t>Opłaty za toalety publiczne</t>
  </si>
  <si>
    <t>Kultura i ochrona dziedzictwa narodowego</t>
  </si>
  <si>
    <t>Biblioteki</t>
  </si>
  <si>
    <t>- koszty zakupu usług przewozu członków chóru Moniuszko na koncerty</t>
  </si>
  <si>
    <t>Usługi remontowe</t>
  </si>
  <si>
    <t>Plany zagospodarowania przestrzennego</t>
  </si>
  <si>
    <t>Różne wydatki na rzecz osób fizycznych</t>
  </si>
  <si>
    <t>Dotacja na świadczenia rodzinne oraz składki na ubezpieczenia emerytalne i rentowe z ubezpieczenia społecznego oraz na zaliczki alimentacyjne (pisma Wojewody Wielkopolskiego z dnia 23.10.2006 r., znak FB.I-3.3010-28/06 i z dnia 19.02.2007 r., znak FB.I-2.3010-6/07, znak FB.I-4.3011-531/07 z dn.28.09.2007 r.,znak FB.I-4.3011-733/07 z dn.04.12.2007 r.). Zmiana kwoty dotacji z pisma FB.I-7.3011-755/07 z dn.31.12.2007 r. nie została wprowadzona do planu budżet z uwagi na termin wpływu pisma 07.01.2008 r.</t>
  </si>
  <si>
    <r>
      <t xml:space="preserve">Dochody jst z tytułu alimentów (50% wpłat komorniczych)                                                                                                           </t>
    </r>
    <r>
      <rPr>
        <b/>
        <sz val="8"/>
        <rFont val="Times New Roman CE"/>
        <family val="0"/>
      </rPr>
      <t xml:space="preserve">Zaległości </t>
    </r>
    <r>
      <rPr>
        <sz val="8"/>
        <rFont val="Times New Roman CE"/>
        <family val="0"/>
      </rPr>
      <t>alimentacyjne: 126.083,26</t>
    </r>
  </si>
  <si>
    <t>Dotacja na zasiłki i pomoc w naturze oraz składki na ubezpieczenia społeczne (pisma Wojewody Wielkopolskiego z dnia 23.10.2006 r., znak FB.I-3.3010-28/06 i z dnia 19.02.2007 r., znak FB.I-2.3010-6/07, z dnia 31.05.2007 r., znak FB.I-3.3011-273/07, z dnia 04.12.2007 r., znak FB.I-4.3011-733/07)</t>
  </si>
  <si>
    <t xml:space="preserve">Dotacja na zasiłki i pomoc w naturze oraz składki na ubezpieczenia społeczne (pisma Wojewody Wielkopolskiego z dnia 23.10.2006 r., znak FB.I-3.3010-28/06 i z dnia 19.02.2007 r., znak FB.I-2.3010-6/07, z dnia 26.10.2007 r.,znak FB.I-4.3011-620/07, z dnia 21.12.2007 r.,FB.I-6.3011-758/07) </t>
  </si>
  <si>
    <t xml:space="preserve">Dotacja na dofinansowanie realizacji Programu wieloletniego "Pomoc państwa w zakresie dożywiania"  (pisma Wojewody Wielkopolskiego z dnia 23.10.2006 r., znak FB.I-3.3010-28/06, z dnia 19.02.2007 r., znak FB.I-2.3010-6/07, z dnia 27.04.2007 r., znak FB.I-3.3011-219/07, z dnia 07.08.2007 r., znak FB.I-6.3011-402/07, z dnia 10.10.2007 r.,znak FB.I-3.3011-532/07) </t>
  </si>
  <si>
    <t>Dotacje celowe otrzymane z budżetu państwa na zadania bieżące realizowane przez gminę na podstawie porozumień z organami administracji rządowej</t>
  </si>
  <si>
    <t>OGÓŁEM</t>
  </si>
  <si>
    <t>SPRAWOZDANIE</t>
  </si>
  <si>
    <t>z przebiegu wykonania budżetu Gminy Kaźmierz</t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</si>
  <si>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 xml:space="preserve">dochody zwiększono o kwotę 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</si>
  <si>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 xml:space="preserve">wydatki zwiększono o kwotę 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</si>
  <si>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przychody zwiększono o kwotę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</si>
  <si>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rozchody zwiększono o kwotę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</si>
  <si>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dochodów zamykał się kwotą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</si>
  <si>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wydatków zamykał się kwotą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</si>
  <si>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przychodów zamykał się kwotą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</si>
  <si>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rozchodów zamykał się kwotą</t>
    </r>
  </si>
  <si>
    <r>
      <t>5.</t>
    </r>
    <r>
      <rPr>
        <sz val="12"/>
        <rFont val="Times New Roman"/>
        <family val="1"/>
      </rPr>
      <t xml:space="preserve"> Gminny Fundusz Ochrony Środowiska i Gospodarki Wodnej (Zał.nr 4)</t>
    </r>
  </si>
  <si>
    <t>WYDATKI GMINY KAŹMIERZ W 2007r.</t>
  </si>
  <si>
    <t>Zał.Nr 2</t>
  </si>
  <si>
    <t>Rozdz.</t>
  </si>
  <si>
    <t xml:space="preserve">Plan wydatków budżetowych na 2007r. </t>
  </si>
  <si>
    <t>Plan wydatków po zmianach</t>
  </si>
  <si>
    <t>Środki do wykorzystania</t>
  </si>
  <si>
    <t>Uchwała nr V/29/07  Rady Gminy Kaźmierz z dn.02.03.2007</t>
  </si>
  <si>
    <t>Uchwała nr VI/32/07  Rady Gminy Kaźmierz z dn.04.04.2007</t>
  </si>
  <si>
    <t>Uchwała nr VII/38/07  Rady Gminy Kaźmierz z dn.26.04.2007</t>
  </si>
  <si>
    <t>Uchwała nr VIII/48/07 Rady Gminy Kaźmierz z dn.21.06.2007</t>
  </si>
  <si>
    <t>Plan zgłoszony przez Wydziały UG i Jednostki organmizacyjne</t>
  </si>
  <si>
    <t>01008</t>
  </si>
  <si>
    <t>Melioracje wodne</t>
  </si>
  <si>
    <t>Zakup materiałów i wyposażenia</t>
  </si>
  <si>
    <t>Zakup usług remontowych</t>
  </si>
  <si>
    <t>Zakup usług pozostałych</t>
  </si>
  <si>
    <t>Wydatki inwestycyjne jednostek budżetowych</t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</si>
  <si>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</si>
  <si>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</si>
  <si>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</si>
  <si>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</si>
  <si>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Wpłaty gmin na rzecz izb rolniczych w wysokości 2% uzyskanych wpływów z podatku rolnego</t>
  </si>
  <si>
    <t>Różne opłaty i składki</t>
  </si>
  <si>
    <t>Dotacja celowa na pomoc finansową udzielaną między jednostkami samorządu terytorialnego na dofinansowanie własnych zadań bieżących</t>
  </si>
  <si>
    <t>zobowiązania z tytułu ubezpieczeń społecznych od wynagrodzeń</t>
  </si>
  <si>
    <t>czynsz dzierżawny faktura nr NI/LU/22/07 z dnia 21.12.2007 z terminem płatności 31.12.2007</t>
  </si>
  <si>
    <t>czynsz dzierżawny faktura nr 55/KS/07 z dnia 28.12.2007 z terminem płatności 18.01.2008</t>
  </si>
  <si>
    <t>czynsz dzierżawny faktura nr NI/LU/23/07 z dnia 31.12.2007 z terminem płatności 16.01.2008</t>
  </si>
  <si>
    <t>ZESTAWIENIE NALEŻNOŚCI  I  ZOBOWIĄZAŃ NA 31.12.2007 r.</t>
  </si>
  <si>
    <t>zobowiązania kredytowe i pożyczkowe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</si>
</sst>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_ ;[Red]\-0.00\ "/>
    <numFmt numFmtId="169" formatCode="#,##0.00_ ;[Red]\-#,##0.00\ "/>
    <numFmt numFmtId="170" formatCode="0.0%"/>
    <numFmt numFmtId="171" formatCode="d/m/yyyy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8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 CE"/>
      <family val="1"/>
    </font>
    <font>
      <vertAlign val="superscript"/>
      <sz val="8"/>
      <name val="Times New Roman CE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7"/>
      <name val="Times New Roman"/>
      <family val="1"/>
    </font>
    <font>
      <sz val="12"/>
      <name val="Symbol"/>
      <family val="1"/>
    </font>
    <font>
      <sz val="10"/>
      <color indexed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 CE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7"/>
      <name val="Times New Roman"/>
      <family val="1"/>
    </font>
    <font>
      <sz val="12"/>
      <name val="Times New Roman CE"/>
      <family val="0"/>
    </font>
    <font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 CE"/>
      <family val="1"/>
    </font>
    <font>
      <sz val="10"/>
      <color indexed="12"/>
      <name val="Times New Roman CE"/>
      <family val="1"/>
    </font>
    <font>
      <b/>
      <sz val="12"/>
      <name val="Times New Roman CE"/>
      <family val="1"/>
    </font>
    <font>
      <b/>
      <sz val="12"/>
      <color indexed="10"/>
      <name val="Times New Roman CE"/>
      <family val="1"/>
    </font>
    <font>
      <sz val="8"/>
      <color indexed="12"/>
      <name val="Times New Roman CE"/>
      <family val="1"/>
    </font>
    <font>
      <sz val="16"/>
      <color indexed="48"/>
      <name val="Times New Roman CE"/>
      <family val="1"/>
    </font>
    <font>
      <b/>
      <sz val="11"/>
      <name val="Times New Roman CE"/>
      <family val="1"/>
    </font>
    <font>
      <b/>
      <sz val="10"/>
      <color indexed="10"/>
      <name val="Arial CE"/>
      <family val="2"/>
    </font>
    <font>
      <b/>
      <sz val="9"/>
      <name val="Times New Roman CE"/>
      <family val="1"/>
    </font>
    <font>
      <sz val="9"/>
      <name val="Times New Roman"/>
      <family val="1"/>
    </font>
    <font>
      <sz val="9"/>
      <name val="Times New Roman CE"/>
      <family val="0"/>
    </font>
    <font>
      <sz val="9"/>
      <name val="Arial"/>
      <family val="0"/>
    </font>
    <font>
      <b/>
      <sz val="9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Times New Roman CE"/>
      <family val="0"/>
    </font>
    <font>
      <b/>
      <sz val="8"/>
      <color indexed="12"/>
      <name val="Times New Roman CE"/>
      <family val="1"/>
    </font>
    <font>
      <b/>
      <sz val="8"/>
      <color indexed="10"/>
      <name val="Times New Roman CE"/>
      <family val="1"/>
    </font>
    <font>
      <b/>
      <sz val="8"/>
      <color indexed="12"/>
      <name val="Times New Roman"/>
      <family val="1"/>
    </font>
    <font>
      <sz val="8"/>
      <name val="Times New Roman"/>
      <family val="1"/>
    </font>
    <font>
      <b/>
      <sz val="11"/>
      <color indexed="12"/>
      <name val="Times New Roman"/>
      <family val="1"/>
    </font>
    <font>
      <b/>
      <sz val="9"/>
      <color indexed="12"/>
      <name val="Times New Roman"/>
      <family val="1"/>
    </font>
    <font>
      <vertAlign val="superscript"/>
      <sz val="14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4" fontId="6" fillId="0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0" borderId="2" xfId="0" applyNumberFormat="1" applyFont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18" applyFont="1" applyFill="1" applyBorder="1" applyAlignment="1">
      <alignment horizontal="left" vertical="center" wrapText="1"/>
      <protection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 quotePrefix="1">
      <alignment horizontal="left" vertical="center"/>
    </xf>
    <xf numFmtId="0" fontId="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4" fontId="2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 wrapText="1"/>
    </xf>
    <xf numFmtId="4" fontId="25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 wrapText="1" indent="2"/>
    </xf>
    <xf numFmtId="4" fontId="15" fillId="0" borderId="0" xfId="0" applyNumberFormat="1" applyFont="1" applyAlignment="1">
      <alignment horizontal="right" vertical="center"/>
    </xf>
    <xf numFmtId="0" fontId="15" fillId="0" borderId="0" xfId="0" applyFont="1" applyAlignment="1" quotePrefix="1">
      <alignment horizontal="left" vertical="center" wrapText="1" indent="2"/>
    </xf>
    <xf numFmtId="4" fontId="15" fillId="0" borderId="0" xfId="0" applyNumberFormat="1" applyFont="1" applyAlignment="1">
      <alignment vertical="center"/>
    </xf>
    <xf numFmtId="0" fontId="15" fillId="0" borderId="0" xfId="0" applyFont="1" applyAlignment="1" quotePrefix="1">
      <alignment horizontal="left" vertical="center" wrapText="1" indent="3"/>
    </xf>
    <xf numFmtId="0" fontId="15" fillId="0" borderId="0" xfId="0" applyFont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 indent="2"/>
    </xf>
    <xf numFmtId="0" fontId="7" fillId="0" borderId="0" xfId="0" applyFont="1" applyAlignment="1" quotePrefix="1">
      <alignment horizontal="left" vertical="center" wrapText="1" indent="2"/>
    </xf>
    <xf numFmtId="0" fontId="8" fillId="0" borderId="0" xfId="0" applyFont="1" applyAlignment="1">
      <alignment vertical="center" wrapText="1"/>
    </xf>
    <xf numFmtId="4" fontId="8" fillId="0" borderId="0" xfId="0" applyNumberFormat="1" applyFont="1" applyAlignment="1">
      <alignment vertic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 indent="3"/>
    </xf>
    <xf numFmtId="4" fontId="4" fillId="0" borderId="0" xfId="0" applyNumberFormat="1" applyFont="1" applyAlignment="1">
      <alignment vertical="center"/>
    </xf>
    <xf numFmtId="4" fontId="15" fillId="0" borderId="0" xfId="0" applyNumberFormat="1" applyFont="1" applyAlignment="1" quotePrefix="1">
      <alignment horizontal="left" vertical="center" wrapText="1" indent="2"/>
    </xf>
    <xf numFmtId="0" fontId="15" fillId="0" borderId="0" xfId="0" applyFont="1" applyAlignment="1" quotePrefix="1">
      <alignment vertical="center" wrapText="1"/>
    </xf>
    <xf numFmtId="0" fontId="15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4" fontId="15" fillId="0" borderId="0" xfId="0" applyNumberFormat="1" applyFont="1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4" fontId="23" fillId="2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 quotePrefix="1">
      <alignment horizontal="center" vertical="center" wrapText="1"/>
    </xf>
    <xf numFmtId="4" fontId="32" fillId="0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Border="1" applyAlignment="1">
      <alignment vertical="center" wrapText="1"/>
    </xf>
    <xf numFmtId="0" fontId="23" fillId="0" borderId="1" xfId="0" applyFont="1" applyBorder="1" applyAlignment="1" quotePrefix="1">
      <alignment horizontal="center" vertical="center" wrapText="1"/>
    </xf>
    <xf numFmtId="0" fontId="13" fillId="0" borderId="0" xfId="0" applyFont="1" applyAlignment="1">
      <alignment vertical="center" wrapText="1"/>
    </xf>
    <xf numFmtId="4" fontId="23" fillId="0" borderId="1" xfId="0" applyNumberFormat="1" applyFont="1" applyFill="1" applyBorder="1" applyAlignment="1">
      <alignment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13" fillId="0" borderId="1" xfId="0" applyFont="1" applyFill="1" applyBorder="1" applyAlignment="1" quotePrefix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4" fontId="23" fillId="0" borderId="1" xfId="0" applyNumberFormat="1" applyFont="1" applyFill="1" applyBorder="1" applyAlignment="1">
      <alignment horizontal="right" vertical="center" wrapText="1"/>
    </xf>
    <xf numFmtId="4" fontId="23" fillId="2" borderId="1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 indent="2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quotePrefix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23" fillId="0" borderId="5" xfId="0" applyFont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23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top" wrapText="1"/>
    </xf>
    <xf numFmtId="0" fontId="13" fillId="6" borderId="6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/>
    </xf>
    <xf numFmtId="4" fontId="31" fillId="0" borderId="1" xfId="0" applyNumberFormat="1" applyFont="1" applyBorder="1" applyAlignment="1">
      <alignment vertical="center" wrapText="1"/>
    </xf>
    <xf numFmtId="4" fontId="13" fillId="0" borderId="7" xfId="0" applyNumberFormat="1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vertical="center" wrapText="1"/>
    </xf>
    <xf numFmtId="4" fontId="13" fillId="6" borderId="1" xfId="0" applyNumberFormat="1" applyFont="1" applyFill="1" applyBorder="1" applyAlignment="1">
      <alignment vertical="center" wrapText="1"/>
    </xf>
    <xf numFmtId="4" fontId="31" fillId="6" borderId="1" xfId="0" applyNumberFormat="1" applyFont="1" applyFill="1" applyBorder="1" applyAlignment="1">
      <alignment vertical="center" wrapText="1"/>
    </xf>
    <xf numFmtId="4" fontId="6" fillId="6" borderId="1" xfId="0" applyNumberFormat="1" applyFont="1" applyFill="1" applyBorder="1" applyAlignment="1">
      <alignment vertical="center" wrapText="1"/>
    </xf>
    <xf numFmtId="4" fontId="31" fillId="0" borderId="1" xfId="0" applyNumberFormat="1" applyFont="1" applyFill="1" applyBorder="1" applyAlignment="1">
      <alignment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left" vertical="center" wrapText="1"/>
    </xf>
    <xf numFmtId="0" fontId="23" fillId="6" borderId="8" xfId="0" applyFont="1" applyFill="1" applyBorder="1" applyAlignment="1" quotePrefix="1">
      <alignment horizontal="center" vertical="center" wrapText="1"/>
    </xf>
    <xf numFmtId="0" fontId="13" fillId="6" borderId="8" xfId="0" applyFont="1" applyFill="1" applyBorder="1" applyAlignment="1">
      <alignment horizontal="left" vertical="center" wrapText="1"/>
    </xf>
    <xf numFmtId="4" fontId="13" fillId="6" borderId="2" xfId="0" applyNumberFormat="1" applyFont="1" applyFill="1" applyBorder="1" applyAlignment="1">
      <alignment vertical="center" wrapText="1"/>
    </xf>
    <xf numFmtId="4" fontId="31" fillId="6" borderId="2" xfId="0" applyNumberFormat="1" applyFont="1" applyFill="1" applyBorder="1" applyAlignment="1">
      <alignment vertical="center" wrapText="1"/>
    </xf>
    <xf numFmtId="4" fontId="13" fillId="6" borderId="8" xfId="0" applyNumberFormat="1" applyFont="1" applyFill="1" applyBorder="1" applyAlignment="1">
      <alignment horizontal="center" vertical="center" wrapText="1"/>
    </xf>
    <xf numFmtId="4" fontId="6" fillId="6" borderId="8" xfId="0" applyNumberFormat="1" applyFont="1" applyFill="1" applyBorder="1" applyAlignment="1">
      <alignment horizontal="left" vertical="center" wrapText="1"/>
    </xf>
    <xf numFmtId="0" fontId="13" fillId="0" borderId="2" xfId="0" applyFont="1" applyBorder="1" applyAlignment="1">
      <alignment/>
    </xf>
    <xf numFmtId="0" fontId="31" fillId="0" borderId="2" xfId="0" applyFont="1" applyBorder="1" applyAlignment="1">
      <alignment/>
    </xf>
    <xf numFmtId="0" fontId="13" fillId="0" borderId="2" xfId="0" applyFont="1" applyBorder="1" applyAlignment="1">
      <alignment vertical="center"/>
    </xf>
    <xf numFmtId="4" fontId="33" fillId="0" borderId="8" xfId="0" applyNumberFormat="1" applyFont="1" applyBorder="1" applyAlignment="1">
      <alignment horizontal="center"/>
    </xf>
    <xf numFmtId="4" fontId="34" fillId="0" borderId="8" xfId="0" applyNumberFormat="1" applyFont="1" applyBorder="1" applyAlignment="1">
      <alignment horizontal="center"/>
    </xf>
    <xf numFmtId="4" fontId="33" fillId="0" borderId="8" xfId="0" applyNumberFormat="1" applyFont="1" applyBorder="1" applyAlignment="1">
      <alignment horizontal="center" vertical="center"/>
    </xf>
    <xf numFmtId="4" fontId="34" fillId="0" borderId="8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/>
    </xf>
    <xf numFmtId="0" fontId="13" fillId="0" borderId="7" xfId="0" applyFont="1" applyBorder="1" applyAlignment="1">
      <alignment vertical="center"/>
    </xf>
    <xf numFmtId="0" fontId="31" fillId="0" borderId="7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38" fillId="0" borderId="0" xfId="0" applyFont="1" applyAlignment="1">
      <alignment/>
    </xf>
    <xf numFmtId="0" fontId="13" fillId="0" borderId="2" xfId="0" applyFont="1" applyBorder="1" applyAlignment="1">
      <alignment vertical="center" wrapText="1"/>
    </xf>
    <xf numFmtId="0" fontId="23" fillId="0" borderId="2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23" fillId="0" borderId="2" xfId="0" applyFont="1" applyBorder="1" applyAlignment="1" quotePrefix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3" fillId="0" borderId="9" xfId="0" applyFont="1" applyBorder="1" applyAlignment="1">
      <alignment vertical="center"/>
    </xf>
    <xf numFmtId="0" fontId="33" fillId="0" borderId="10" xfId="0" applyFont="1" applyBorder="1" applyAlignment="1">
      <alignment horizontal="center" vertical="center" wrapText="1"/>
    </xf>
    <xf numFmtId="4" fontId="27" fillId="0" borderId="0" xfId="0" applyNumberFormat="1" applyFont="1" applyAlignment="1">
      <alignment vertical="center" wrapText="1"/>
    </xf>
    <xf numFmtId="0" fontId="23" fillId="7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/>
    </xf>
    <xf numFmtId="0" fontId="13" fillId="0" borderId="0" xfId="0" applyFont="1" applyFill="1" applyAlignment="1">
      <alignment/>
    </xf>
    <xf numFmtId="0" fontId="23" fillId="2" borderId="1" xfId="0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vertical="top" wrapText="1"/>
    </xf>
    <xf numFmtId="4" fontId="23" fillId="2" borderId="1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23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vertical="top" wrapText="1"/>
    </xf>
    <xf numFmtId="4" fontId="13" fillId="0" borderId="1" xfId="0" applyNumberFormat="1" applyFont="1" applyFill="1" applyBorder="1" applyAlignment="1">
      <alignment horizontal="right" vertical="top" wrapText="1"/>
    </xf>
    <xf numFmtId="4" fontId="23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vertical="top" wrapText="1"/>
    </xf>
    <xf numFmtId="0" fontId="13" fillId="0" borderId="8" xfId="0" applyFont="1" applyBorder="1" applyAlignment="1" quotePrefix="1">
      <alignment horizontal="center" vertical="center" wrapText="1"/>
    </xf>
    <xf numFmtId="4" fontId="13" fillId="0" borderId="8" xfId="0" applyNumberFormat="1" applyFont="1" applyBorder="1" applyAlignment="1">
      <alignment vertical="center" wrapText="1"/>
    </xf>
    <xf numFmtId="0" fontId="40" fillId="6" borderId="1" xfId="0" applyFont="1" applyFill="1" applyBorder="1" applyAlignment="1">
      <alignment horizontal="left" vertical="center"/>
    </xf>
    <xf numFmtId="4" fontId="40" fillId="3" borderId="1" xfId="0" applyNumberFormat="1" applyFont="1" applyFill="1" applyBorder="1" applyAlignment="1">
      <alignment horizontal="left" vertical="center"/>
    </xf>
    <xf numFmtId="4" fontId="40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 quotePrefix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vertical="center" wrapText="1"/>
    </xf>
    <xf numFmtId="4" fontId="40" fillId="3" borderId="1" xfId="0" applyNumberFormat="1" applyFont="1" applyFill="1" applyBorder="1" applyAlignment="1">
      <alignment horizontal="left" vertical="center" wrapText="1"/>
    </xf>
    <xf numFmtId="4" fontId="40" fillId="0" borderId="1" xfId="0" applyNumberFormat="1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40" fillId="3" borderId="2" xfId="0" applyNumberFormat="1" applyFont="1" applyFill="1" applyBorder="1" applyAlignment="1">
      <alignment horizontal="left" vertical="center" wrapText="1"/>
    </xf>
    <xf numFmtId="4" fontId="40" fillId="0" borderId="1" xfId="0" applyNumberFormat="1" applyFont="1" applyFill="1" applyBorder="1" applyAlignment="1">
      <alignment wrapText="1"/>
    </xf>
    <xf numFmtId="4" fontId="40" fillId="0" borderId="1" xfId="0" applyNumberFormat="1" applyFont="1" applyFill="1" applyBorder="1" applyAlignment="1">
      <alignment vertical="center" wrapText="1"/>
    </xf>
    <xf numFmtId="4" fontId="41" fillId="0" borderId="1" xfId="0" applyNumberFormat="1" applyFont="1" applyBorder="1" applyAlignment="1">
      <alignment horizontal="left" vertical="center" wrapText="1"/>
    </xf>
    <xf numFmtId="4" fontId="41" fillId="0" borderId="1" xfId="0" applyNumberFormat="1" applyFont="1" applyFill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horizontal="left" vertical="center" wrapText="1"/>
    </xf>
    <xf numFmtId="4" fontId="40" fillId="5" borderId="1" xfId="0" applyNumberFormat="1" applyFont="1" applyFill="1" applyBorder="1" applyAlignment="1">
      <alignment horizontal="left" vertical="center" wrapText="1"/>
    </xf>
    <xf numFmtId="4" fontId="40" fillId="0" borderId="0" xfId="0" applyNumberFormat="1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23" fillId="7" borderId="5" xfId="0" applyFont="1" applyFill="1" applyBorder="1" applyAlignment="1">
      <alignment horizontal="left"/>
    </xf>
    <xf numFmtId="4" fontId="23" fillId="2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 quotePrefix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4" fontId="13" fillId="0" borderId="2" xfId="0" applyNumberFormat="1" applyFont="1" applyBorder="1" applyAlignment="1">
      <alignment vertical="center" wrapText="1"/>
    </xf>
    <xf numFmtId="0" fontId="23" fillId="7" borderId="8" xfId="0" applyFont="1" applyFill="1" applyBorder="1" applyAlignment="1">
      <alignment horizontal="center"/>
    </xf>
    <xf numFmtId="0" fontId="23" fillId="7" borderId="8" xfId="0" applyFont="1" applyFill="1" applyBorder="1" applyAlignment="1">
      <alignment horizontal="left"/>
    </xf>
    <xf numFmtId="4" fontId="13" fillId="7" borderId="8" xfId="0" applyNumberFormat="1" applyFont="1" applyFill="1" applyBorder="1" applyAlignment="1">
      <alignment horizontal="left" vertical="center" wrapText="1"/>
    </xf>
    <xf numFmtId="4" fontId="23" fillId="2" borderId="8" xfId="0" applyNumberFormat="1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4" fontId="13" fillId="2" borderId="8" xfId="0" applyNumberFormat="1" applyFont="1" applyFill="1" applyBorder="1" applyAlignment="1">
      <alignment horizontal="left" vertical="center" wrapText="1"/>
    </xf>
    <xf numFmtId="4" fontId="23" fillId="2" borderId="7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42" fillId="0" borderId="0" xfId="0" applyFont="1" applyAlignment="1">
      <alignment/>
    </xf>
    <xf numFmtId="4" fontId="23" fillId="2" borderId="1" xfId="0" applyNumberFormat="1" applyFont="1" applyFill="1" applyBorder="1" applyAlignment="1">
      <alignment horizontal="right" vertical="top" wrapText="1"/>
    </xf>
    <xf numFmtId="0" fontId="13" fillId="0" borderId="2" xfId="0" applyFont="1" applyFill="1" applyBorder="1" applyAlignment="1" quotePrefix="1">
      <alignment horizontal="center" vertical="top" wrapText="1"/>
    </xf>
    <xf numFmtId="0" fontId="13" fillId="0" borderId="2" xfId="0" applyFont="1" applyFill="1" applyBorder="1" applyAlignment="1">
      <alignment vertical="top" wrapText="1"/>
    </xf>
    <xf numFmtId="4" fontId="13" fillId="0" borderId="2" xfId="0" applyNumberFormat="1" applyFont="1" applyFill="1" applyBorder="1" applyAlignment="1">
      <alignment horizontal="right" vertical="top" wrapText="1"/>
    </xf>
    <xf numFmtId="4" fontId="13" fillId="0" borderId="8" xfId="0" applyNumberFormat="1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2" fontId="13" fillId="0" borderId="11" xfId="0" applyNumberFormat="1" applyFont="1" applyFill="1" applyBorder="1" applyAlignment="1">
      <alignment horizontal="right"/>
    </xf>
    <xf numFmtId="4" fontId="13" fillId="0" borderId="11" xfId="0" applyNumberFormat="1" applyFont="1" applyBorder="1" applyAlignment="1">
      <alignment vertical="center" wrapText="1"/>
    </xf>
    <xf numFmtId="4" fontId="13" fillId="7" borderId="8" xfId="0" applyNumberFormat="1" applyFont="1" applyFill="1" applyBorder="1" applyAlignment="1">
      <alignment vertical="center" wrapText="1"/>
    </xf>
    <xf numFmtId="4" fontId="13" fillId="2" borderId="8" xfId="0" applyNumberFormat="1" applyFont="1" applyFill="1" applyBorder="1" applyAlignment="1">
      <alignment vertical="center" wrapText="1"/>
    </xf>
    <xf numFmtId="4" fontId="23" fillId="2" borderId="7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4" fontId="23" fillId="2" borderId="1" xfId="0" applyNumberFormat="1" applyFont="1" applyFill="1" applyBorder="1" applyAlignment="1">
      <alignment vertical="center" wrapText="1"/>
    </xf>
    <xf numFmtId="4" fontId="23" fillId="2" borderId="1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44" fontId="15" fillId="0" borderId="0" xfId="0" applyNumberFormat="1" applyFont="1" applyAlignment="1">
      <alignment vertical="center"/>
    </xf>
    <xf numFmtId="44" fontId="15" fillId="0" borderId="0" xfId="0" applyNumberFormat="1" applyFont="1" applyAlignment="1">
      <alignment horizontal="left" vertical="center" wrapText="1"/>
    </xf>
    <xf numFmtId="0" fontId="15" fillId="0" borderId="0" xfId="0" applyFont="1" applyAlignment="1">
      <alignment horizontal="left" vertical="center" indent="3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168" fontId="3" fillId="0" borderId="0" xfId="0" applyNumberFormat="1" applyFont="1" applyAlignment="1">
      <alignment vertical="center"/>
    </xf>
    <xf numFmtId="169" fontId="3" fillId="0" borderId="0" xfId="0" applyNumberFormat="1" applyFont="1" applyAlignment="1">
      <alignment vertical="center"/>
    </xf>
    <xf numFmtId="169" fontId="3" fillId="0" borderId="0" xfId="0" applyNumberFormat="1" applyFont="1" applyAlignment="1">
      <alignment horizontal="right" vertical="center"/>
    </xf>
    <xf numFmtId="170" fontId="3" fillId="0" borderId="0" xfId="0" applyNumberFormat="1" applyFont="1" applyAlignment="1">
      <alignment vertical="center"/>
    </xf>
    <xf numFmtId="168" fontId="1" fillId="0" borderId="0" xfId="0" applyNumberFormat="1" applyFont="1" applyAlignment="1">
      <alignment vertical="center"/>
    </xf>
    <xf numFmtId="169" fontId="3" fillId="0" borderId="0" xfId="0" applyNumberFormat="1" applyFont="1" applyAlignment="1">
      <alignment horizontal="justify" vertical="center"/>
    </xf>
    <xf numFmtId="0" fontId="43" fillId="0" borderId="1" xfId="0" applyFont="1" applyBorder="1" applyAlignment="1">
      <alignment horizontal="center" vertical="center" wrapText="1"/>
    </xf>
    <xf numFmtId="49" fontId="43" fillId="0" borderId="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 wrapText="1"/>
    </xf>
    <xf numFmtId="169" fontId="1" fillId="8" borderId="1" xfId="0" applyNumberFormat="1" applyFont="1" applyFill="1" applyBorder="1" applyAlignment="1">
      <alignment horizontal="center" vertical="center" wrapText="1"/>
    </xf>
    <xf numFmtId="170" fontId="1" fillId="0" borderId="1" xfId="0" applyNumberFormat="1" applyFont="1" applyBorder="1" applyAlignment="1">
      <alignment horizontal="center" vertical="center" wrapText="1"/>
    </xf>
    <xf numFmtId="168" fontId="1" fillId="0" borderId="0" xfId="0" applyNumberFormat="1" applyFont="1" applyAlignment="1">
      <alignment horizontal="center" vertical="center" wrapText="1"/>
    </xf>
    <xf numFmtId="0" fontId="1" fillId="3" borderId="1" xfId="0" applyNumberFormat="1" applyFont="1" applyFill="1" applyBorder="1" applyAlignment="1" quotePrefix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right" vertical="center" wrapText="1"/>
    </xf>
    <xf numFmtId="168" fontId="1" fillId="3" borderId="1" xfId="0" applyNumberFormat="1" applyFont="1" applyFill="1" applyBorder="1" applyAlignment="1">
      <alignment vertical="center" wrapText="1"/>
    </xf>
    <xf numFmtId="169" fontId="1" fillId="3" borderId="1" xfId="0" applyNumberFormat="1" applyFont="1" applyFill="1" applyBorder="1" applyAlignment="1">
      <alignment horizontal="center" vertical="center" wrapText="1"/>
    </xf>
    <xf numFmtId="170" fontId="1" fillId="3" borderId="1" xfId="0" applyNumberFormat="1" applyFont="1" applyFill="1" applyBorder="1" applyAlignment="1">
      <alignment vertical="center" wrapText="1"/>
    </xf>
    <xf numFmtId="169" fontId="45" fillId="3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Border="1" applyAlignment="1" quotePrefix="1">
      <alignment horizontal="center" vertical="center" wrapText="1"/>
    </xf>
    <xf numFmtId="0" fontId="1" fillId="0" borderId="1" xfId="0" applyNumberFormat="1" applyFont="1" applyBorder="1" applyAlignment="1">
      <alignment horizontal="right" vertical="center" wrapText="1"/>
    </xf>
    <xf numFmtId="168" fontId="1" fillId="0" borderId="1" xfId="0" applyNumberFormat="1" applyFont="1" applyBorder="1" applyAlignment="1">
      <alignment vertical="center" wrapText="1"/>
    </xf>
    <xf numFmtId="169" fontId="1" fillId="0" borderId="1" xfId="0" applyNumberFormat="1" applyFont="1" applyBorder="1" applyAlignment="1">
      <alignment horizontal="right" vertical="center" wrapText="1"/>
    </xf>
    <xf numFmtId="170" fontId="1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Border="1" applyAlignment="1" quotePrefix="1">
      <alignment horizontal="center" vertical="center" wrapText="1"/>
    </xf>
    <xf numFmtId="0" fontId="3" fillId="0" borderId="1" xfId="0" applyNumberFormat="1" applyFont="1" applyBorder="1" applyAlignment="1" quotePrefix="1">
      <alignment horizontal="right" vertical="center" wrapText="1"/>
    </xf>
    <xf numFmtId="168" fontId="3" fillId="0" borderId="1" xfId="0" applyNumberFormat="1" applyFont="1" applyBorder="1" applyAlignment="1">
      <alignment vertical="center" wrapText="1"/>
    </xf>
    <xf numFmtId="169" fontId="3" fillId="0" borderId="1" xfId="0" applyNumberFormat="1" applyFont="1" applyBorder="1" applyAlignment="1">
      <alignment horizontal="right" vertical="center" wrapText="1"/>
    </xf>
    <xf numFmtId="170" fontId="3" fillId="0" borderId="1" xfId="0" applyNumberFormat="1" applyFont="1" applyFill="1" applyBorder="1" applyAlignment="1">
      <alignment vertical="center" wrapText="1"/>
    </xf>
    <xf numFmtId="0" fontId="1" fillId="3" borderId="1" xfId="0" applyNumberFormat="1" applyFont="1" applyFill="1" applyBorder="1" applyAlignment="1" quotePrefix="1">
      <alignment horizontal="right" vertical="center" wrapText="1"/>
    </xf>
    <xf numFmtId="169" fontId="1" fillId="3" borderId="1" xfId="0" applyNumberFormat="1" applyFont="1" applyFill="1" applyBorder="1" applyAlignment="1">
      <alignment horizontal="right" vertical="center" wrapText="1"/>
    </xf>
    <xf numFmtId="169" fontId="1" fillId="3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Border="1" applyAlignment="1" quotePrefix="1">
      <alignment horizontal="right" vertical="center" wrapText="1"/>
    </xf>
    <xf numFmtId="4" fontId="1" fillId="3" borderId="1" xfId="0" applyNumberFormat="1" applyFont="1" applyFill="1" applyBorder="1" applyAlignment="1">
      <alignment horizontal="justify" vertical="center" wrapText="1"/>
    </xf>
    <xf numFmtId="169" fontId="1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horizontal="right" vertical="center" wrapText="1"/>
    </xf>
    <xf numFmtId="170" fontId="1" fillId="8" borderId="1" xfId="0" applyNumberFormat="1" applyFont="1" applyFill="1" applyBorder="1" applyAlignment="1">
      <alignment vertical="center" wrapText="1"/>
    </xf>
    <xf numFmtId="4" fontId="3" fillId="8" borderId="1" xfId="0" applyNumberFormat="1" applyFont="1" applyFill="1" applyBorder="1" applyAlignment="1">
      <alignment horizontal="justify"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right" vertical="center" wrapText="1"/>
    </xf>
    <xf numFmtId="168" fontId="3" fillId="0" borderId="0" xfId="0" applyNumberFormat="1" applyFont="1" applyAlignment="1">
      <alignment vertical="center" wrapText="1"/>
    </xf>
    <xf numFmtId="169" fontId="3" fillId="0" borderId="0" xfId="0" applyNumberFormat="1" applyFont="1" applyAlignment="1">
      <alignment horizontal="right" vertical="center" wrapText="1"/>
    </xf>
    <xf numFmtId="170" fontId="3" fillId="0" borderId="0" xfId="0" applyNumberFormat="1" applyFont="1" applyAlignment="1">
      <alignment vertical="center" wrapText="1"/>
    </xf>
    <xf numFmtId="169" fontId="3" fillId="0" borderId="0" xfId="0" applyNumberFormat="1" applyFont="1" applyAlignment="1">
      <alignment horizontal="justify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7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5" borderId="1" xfId="0" applyFont="1" applyFill="1" applyBorder="1" applyAlignment="1" quotePrefix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 shrinkToFit="1"/>
    </xf>
    <xf numFmtId="169" fontId="1" fillId="5" borderId="1" xfId="0" applyNumberFormat="1" applyFont="1" applyFill="1" applyBorder="1" applyAlignment="1">
      <alignment horizontal="center" vertical="center"/>
    </xf>
    <xf numFmtId="170" fontId="1" fillId="5" borderId="1" xfId="0" applyNumberFormat="1" applyFont="1" applyFill="1" applyBorder="1" applyAlignment="1">
      <alignment horizontal="center" vertical="center"/>
    </xf>
    <xf numFmtId="0" fontId="3" fillId="9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quotePrefix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70" fontId="3" fillId="0" borderId="1" xfId="0" applyNumberFormat="1" applyFont="1" applyFill="1" applyBorder="1" applyAlignment="1">
      <alignment horizontal="righ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169" fontId="3" fillId="9" borderId="1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169" fontId="1" fillId="5" borderId="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169" fontId="1" fillId="5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69" fontId="3" fillId="0" borderId="0" xfId="0" applyNumberFormat="1" applyFont="1" applyAlignment="1">
      <alignment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vertical="center" wrapText="1"/>
    </xf>
    <xf numFmtId="0" fontId="43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vertical="center"/>
    </xf>
    <xf numFmtId="10" fontId="1" fillId="4" borderId="1" xfId="0" applyNumberFormat="1" applyFont="1" applyFill="1" applyBorder="1" applyAlignment="1">
      <alignment vertical="center"/>
    </xf>
    <xf numFmtId="49" fontId="3" fillId="4" borderId="1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/>
    </xf>
    <xf numFmtId="10" fontId="1" fillId="0" borderId="1" xfId="0" applyNumberFormat="1" applyFont="1" applyFill="1" applyBorder="1" applyAlignment="1">
      <alignment vertical="center"/>
    </xf>
    <xf numFmtId="49" fontId="1" fillId="4" borderId="1" xfId="0" applyNumberFormat="1" applyFont="1" applyFill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1" fillId="4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/>
    </xf>
    <xf numFmtId="49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49" fontId="43" fillId="0" borderId="1" xfId="0" applyNumberFormat="1" applyFont="1" applyBorder="1" applyAlignment="1">
      <alignment horizontal="center" vertical="center"/>
    </xf>
    <xf numFmtId="4" fontId="43" fillId="0" borderId="1" xfId="0" applyNumberFormat="1" applyFont="1" applyBorder="1" applyAlignment="1">
      <alignment horizontal="center" vertical="center" wrapText="1"/>
    </xf>
    <xf numFmtId="10" fontId="4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10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10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11" borderId="12" xfId="0" applyFont="1" applyFill="1" applyBorder="1" applyAlignment="1">
      <alignment vertical="center"/>
    </xf>
    <xf numFmtId="0" fontId="1" fillId="11" borderId="13" xfId="0" applyFont="1" applyFill="1" applyBorder="1" applyAlignment="1">
      <alignment vertical="center"/>
    </xf>
    <xf numFmtId="0" fontId="1" fillId="11" borderId="14" xfId="0" applyFont="1" applyFill="1" applyBorder="1" applyAlignment="1">
      <alignment vertical="center"/>
    </xf>
    <xf numFmtId="4" fontId="43" fillId="0" borderId="15" xfId="0" applyNumberFormat="1" applyFont="1" applyFill="1" applyBorder="1" applyAlignment="1">
      <alignment horizontal="center" vertical="center" wrapText="1"/>
    </xf>
    <xf numFmtId="4" fontId="43" fillId="0" borderId="16" xfId="0" applyNumberFormat="1" applyFont="1" applyFill="1" applyBorder="1" applyAlignment="1">
      <alignment horizontal="center" vertical="center" wrapText="1"/>
    </xf>
    <xf numFmtId="170" fontId="43" fillId="0" borderId="17" xfId="0" applyNumberFormat="1" applyFont="1" applyFill="1" applyBorder="1" applyAlignment="1">
      <alignment horizontal="center" vertical="center" wrapText="1"/>
    </xf>
    <xf numFmtId="170" fontId="43" fillId="0" borderId="17" xfId="0" applyNumberFormat="1" applyFont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 wrapText="1"/>
    </xf>
    <xf numFmtId="4" fontId="43" fillId="0" borderId="19" xfId="0" applyNumberFormat="1" applyFont="1" applyFill="1" applyBorder="1" applyAlignment="1">
      <alignment horizontal="center" vertical="center" wrapText="1"/>
    </xf>
    <xf numFmtId="4" fontId="43" fillId="0" borderId="20" xfId="0" applyNumberFormat="1" applyFont="1" applyFill="1" applyBorder="1" applyAlignment="1">
      <alignment horizontal="center" vertical="center" wrapText="1"/>
    </xf>
    <xf numFmtId="170" fontId="43" fillId="0" borderId="20" xfId="0" applyNumberFormat="1" applyFont="1" applyFill="1" applyBorder="1" applyAlignment="1">
      <alignment horizontal="center" vertical="center" wrapText="1"/>
    </xf>
    <xf numFmtId="170" fontId="43" fillId="0" borderId="20" xfId="0" applyNumberFormat="1" applyFont="1" applyBorder="1" applyAlignment="1">
      <alignment horizontal="center" vertical="center" wrapText="1"/>
    </xf>
    <xf numFmtId="171" fontId="43" fillId="0" borderId="0" xfId="0" applyNumberFormat="1" applyFont="1" applyAlignment="1">
      <alignment horizontal="center" vertical="center" wrapText="1"/>
    </xf>
    <xf numFmtId="0" fontId="1" fillId="2" borderId="21" xfId="0" applyFont="1" applyFill="1" applyBorder="1" applyAlignment="1">
      <alignment horizontal="left" vertical="center" wrapText="1"/>
    </xf>
    <xf numFmtId="4" fontId="1" fillId="2" borderId="15" xfId="0" applyNumberFormat="1" applyFont="1" applyFill="1" applyBorder="1" applyAlignment="1">
      <alignment vertical="center"/>
    </xf>
    <xf numFmtId="4" fontId="1" fillId="2" borderId="22" xfId="0" applyNumberFormat="1" applyFont="1" applyFill="1" applyBorder="1" applyAlignment="1">
      <alignment vertical="center"/>
    </xf>
    <xf numFmtId="4" fontId="1" fillId="2" borderId="16" xfId="0" applyNumberFormat="1" applyFont="1" applyFill="1" applyBorder="1" applyAlignment="1">
      <alignment vertical="center"/>
    </xf>
    <xf numFmtId="4" fontId="1" fillId="2" borderId="21" xfId="0" applyNumberFormat="1" applyFont="1" applyFill="1" applyBorder="1" applyAlignment="1">
      <alignment vertical="center"/>
    </xf>
    <xf numFmtId="170" fontId="1" fillId="2" borderId="16" xfId="0" applyNumberFormat="1" applyFont="1" applyFill="1" applyBorder="1" applyAlignment="1">
      <alignment vertical="center"/>
    </xf>
    <xf numFmtId="4" fontId="1" fillId="2" borderId="23" xfId="0" applyNumberFormat="1" applyFont="1" applyFill="1" applyBorder="1" applyAlignment="1">
      <alignment vertical="center"/>
    </xf>
    <xf numFmtId="170" fontId="1" fillId="2" borderId="17" xfId="0" applyNumberFormat="1" applyFont="1" applyFill="1" applyBorder="1" applyAlignment="1">
      <alignment vertical="center"/>
    </xf>
    <xf numFmtId="4" fontId="1" fillId="2" borderId="24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 indent="1"/>
    </xf>
    <xf numFmtId="4" fontId="3" fillId="0" borderId="24" xfId="0" applyNumberFormat="1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vertical="center"/>
    </xf>
    <xf numFmtId="4" fontId="3" fillId="0" borderId="23" xfId="0" applyNumberFormat="1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vertical="center"/>
    </xf>
    <xf numFmtId="4" fontId="3" fillId="0" borderId="27" xfId="0" applyNumberFormat="1" applyFont="1" applyFill="1" applyBorder="1" applyAlignment="1">
      <alignment vertical="center"/>
    </xf>
    <xf numFmtId="170" fontId="3" fillId="0" borderId="23" xfId="0" applyNumberFormat="1" applyFont="1" applyFill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170" fontId="3" fillId="0" borderId="24" xfId="0" applyNumberFormat="1" applyFont="1" applyFill="1" applyBorder="1" applyAlignment="1">
      <alignment vertical="center"/>
    </xf>
    <xf numFmtId="4" fontId="1" fillId="0" borderId="24" xfId="0" applyNumberFormat="1" applyFont="1" applyFill="1" applyBorder="1" applyAlignment="1">
      <alignment vertical="center"/>
    </xf>
    <xf numFmtId="0" fontId="3" fillId="0" borderId="24" xfId="0" applyFont="1" applyBorder="1" applyAlignment="1" quotePrefix="1">
      <alignment vertical="center" wrapText="1"/>
    </xf>
    <xf numFmtId="4" fontId="3" fillId="0" borderId="25" xfId="0" applyNumberFormat="1" applyFont="1" applyFill="1" applyBorder="1" applyAlignment="1">
      <alignment vertical="center"/>
    </xf>
    <xf numFmtId="4" fontId="3" fillId="0" borderId="24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170" fontId="3" fillId="0" borderId="28" xfId="0" applyNumberFormat="1" applyFont="1" applyFill="1" applyBorder="1" applyAlignment="1">
      <alignment vertical="center"/>
    </xf>
    <xf numFmtId="170" fontId="3" fillId="0" borderId="29" xfId="0" applyNumberFormat="1" applyFont="1" applyFill="1" applyBorder="1" applyAlignment="1">
      <alignment vertical="center"/>
    </xf>
    <xf numFmtId="0" fontId="1" fillId="2" borderId="25" xfId="0" applyFont="1" applyFill="1" applyBorder="1" applyAlignment="1">
      <alignment horizontal="left" vertical="center" wrapText="1"/>
    </xf>
    <xf numFmtId="4" fontId="1" fillId="2" borderId="6" xfId="0" applyNumberFormat="1" applyFont="1" applyFill="1" applyBorder="1" applyAlignment="1">
      <alignment vertical="center"/>
    </xf>
    <xf numFmtId="4" fontId="1" fillId="2" borderId="26" xfId="0" applyNumberFormat="1" applyFont="1" applyFill="1" applyBorder="1" applyAlignment="1">
      <alignment vertical="center"/>
    </xf>
    <xf numFmtId="4" fontId="1" fillId="2" borderId="27" xfId="0" applyNumberFormat="1" applyFont="1" applyFill="1" applyBorder="1" applyAlignment="1">
      <alignment vertical="center"/>
    </xf>
    <xf numFmtId="170" fontId="1" fillId="2" borderId="24" xfId="0" applyNumberFormat="1" applyFont="1" applyFill="1" applyBorder="1" applyAlignment="1">
      <alignment vertical="center"/>
    </xf>
    <xf numFmtId="170" fontId="3" fillId="2" borderId="24" xfId="0" applyNumberFormat="1" applyFont="1" applyFill="1" applyBorder="1" applyAlignment="1">
      <alignment vertical="center"/>
    </xf>
    <xf numFmtId="170" fontId="1" fillId="2" borderId="29" xfId="0" applyNumberFormat="1" applyFont="1" applyFill="1" applyBorder="1" applyAlignment="1">
      <alignment vertical="center"/>
    </xf>
    <xf numFmtId="4" fontId="1" fillId="2" borderId="25" xfId="0" applyNumberFormat="1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4" fontId="1" fillId="2" borderId="30" xfId="0" applyNumberFormat="1" applyFont="1" applyFill="1" applyBorder="1" applyAlignment="1">
      <alignment vertical="center"/>
    </xf>
    <xf numFmtId="4" fontId="1" fillId="2" borderId="31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170" fontId="1" fillId="2" borderId="31" xfId="0" applyNumberFormat="1" applyFont="1" applyFill="1" applyBorder="1" applyAlignment="1">
      <alignment vertical="center"/>
    </xf>
    <xf numFmtId="4" fontId="3" fillId="0" borderId="25" xfId="0" applyNumberFormat="1" applyFont="1" applyBorder="1" applyAlignment="1">
      <alignment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0" fillId="0" borderId="32" xfId="0" applyFont="1" applyFill="1" applyBorder="1" applyAlignment="1">
      <alignment horizontal="left" vertical="center" wrapText="1"/>
    </xf>
    <xf numFmtId="4" fontId="30" fillId="0" borderId="32" xfId="0" applyNumberFormat="1" applyFont="1" applyFill="1" applyBorder="1" applyAlignment="1">
      <alignment vertical="center"/>
    </xf>
    <xf numFmtId="4" fontId="1" fillId="0" borderId="32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170" fontId="1" fillId="0" borderId="0" xfId="0" applyNumberFormat="1" applyFont="1" applyFill="1" applyBorder="1" applyAlignment="1">
      <alignment vertical="center"/>
    </xf>
    <xf numFmtId="170" fontId="1" fillId="0" borderId="32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33" xfId="0" applyNumberFormat="1" applyFont="1" applyFill="1" applyBorder="1" applyAlignment="1">
      <alignment vertical="center"/>
    </xf>
    <xf numFmtId="4" fontId="43" fillId="0" borderId="3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4" borderId="15" xfId="0" applyFont="1" applyFill="1" applyBorder="1" applyAlignment="1">
      <alignment horizontal="left" vertical="center" wrapText="1"/>
    </xf>
    <xf numFmtId="4" fontId="1" fillId="4" borderId="15" xfId="0" applyNumberFormat="1" applyFont="1" applyFill="1" applyBorder="1" applyAlignment="1">
      <alignment vertical="center"/>
    </xf>
    <xf numFmtId="4" fontId="1" fillId="4" borderId="34" xfId="0" applyNumberFormat="1" applyFont="1" applyFill="1" applyBorder="1" applyAlignment="1">
      <alignment vertical="center"/>
    </xf>
    <xf numFmtId="4" fontId="1" fillId="4" borderId="31" xfId="0" applyNumberFormat="1" applyFont="1" applyFill="1" applyBorder="1" applyAlignment="1">
      <alignment vertical="center"/>
    </xf>
    <xf numFmtId="170" fontId="1" fillId="4" borderId="31" xfId="0" applyNumberFormat="1" applyFont="1" applyFill="1" applyBorder="1" applyAlignment="1">
      <alignment vertical="center"/>
    </xf>
    <xf numFmtId="170" fontId="1" fillId="4" borderId="15" xfId="0" applyNumberFormat="1" applyFont="1" applyFill="1" applyBorder="1" applyAlignment="1">
      <alignment vertical="center"/>
    </xf>
    <xf numFmtId="4" fontId="1" fillId="4" borderId="30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170" fontId="1" fillId="4" borderId="21" xfId="0" applyNumberFormat="1" applyFont="1" applyFill="1" applyBorder="1" applyAlignment="1">
      <alignment vertical="center"/>
    </xf>
    <xf numFmtId="4" fontId="1" fillId="4" borderId="16" xfId="0" applyNumberFormat="1" applyFont="1" applyFill="1" applyBorder="1" applyAlignment="1">
      <alignment vertical="center"/>
    </xf>
    <xf numFmtId="0" fontId="1" fillId="4" borderId="24" xfId="0" applyFont="1" applyFill="1" applyBorder="1" applyAlignment="1">
      <alignment horizontal="left" vertical="center" wrapText="1"/>
    </xf>
    <xf numFmtId="4" fontId="1" fillId="4" borderId="24" xfId="0" applyNumberFormat="1" applyFont="1" applyFill="1" applyBorder="1" applyAlignment="1">
      <alignment vertical="center"/>
    </xf>
    <xf numFmtId="4" fontId="1" fillId="4" borderId="35" xfId="0" applyNumberFormat="1" applyFont="1" applyFill="1" applyBorder="1" applyAlignment="1">
      <alignment vertical="center"/>
    </xf>
    <xf numFmtId="4" fontId="1" fillId="4" borderId="23" xfId="0" applyNumberFormat="1" applyFont="1" applyFill="1" applyBorder="1" applyAlignment="1">
      <alignment vertical="center"/>
    </xf>
    <xf numFmtId="0" fontId="3" fillId="0" borderId="24" xfId="0" applyFont="1" applyBorder="1" applyAlignment="1">
      <alignment horizontal="left" vertical="center" wrapText="1" indent="1"/>
    </xf>
    <xf numFmtId="4" fontId="3" fillId="0" borderId="36" xfId="0" applyNumberFormat="1" applyFont="1" applyBorder="1" applyAlignment="1">
      <alignment vertical="center"/>
    </xf>
    <xf numFmtId="170" fontId="3" fillId="0" borderId="36" xfId="0" applyNumberFormat="1" applyFont="1" applyBorder="1" applyAlignment="1">
      <alignment vertical="center"/>
    </xf>
    <xf numFmtId="170" fontId="3" fillId="0" borderId="24" xfId="0" applyNumberFormat="1" applyFont="1" applyBorder="1" applyAlignment="1">
      <alignment vertical="center"/>
    </xf>
    <xf numFmtId="170" fontId="3" fillId="0" borderId="25" xfId="0" applyNumberFormat="1" applyFont="1" applyBorder="1" applyAlignment="1">
      <alignment vertical="center"/>
    </xf>
    <xf numFmtId="4" fontId="3" fillId="0" borderId="37" xfId="0" applyNumberFormat="1" applyFont="1" applyBorder="1" applyAlignment="1">
      <alignment vertical="center"/>
    </xf>
    <xf numFmtId="0" fontId="7" fillId="12" borderId="12" xfId="0" applyFont="1" applyFill="1" applyBorder="1" applyAlignment="1">
      <alignment horizontal="left" vertical="center" wrapText="1"/>
    </xf>
    <xf numFmtId="4" fontId="7" fillId="12" borderId="33" xfId="0" applyNumberFormat="1" applyFont="1" applyFill="1" applyBorder="1" applyAlignment="1">
      <alignment horizontal="right" vertical="center"/>
    </xf>
    <xf numFmtId="4" fontId="7" fillId="12" borderId="13" xfId="0" applyNumberFormat="1" applyFont="1" applyFill="1" applyBorder="1" applyAlignment="1">
      <alignment horizontal="right" vertical="center"/>
    </xf>
    <xf numFmtId="4" fontId="7" fillId="12" borderId="20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 horizontal="center" vertical="center" wrapText="1"/>
    </xf>
    <xf numFmtId="4" fontId="1" fillId="12" borderId="33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0" fontId="3" fillId="0" borderId="0" xfId="0" applyFont="1" applyAlignment="1" quotePrefix="1">
      <alignment horizontal="left" vertical="center" wrapText="1" indent="1"/>
    </xf>
    <xf numFmtId="44" fontId="3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 wrapText="1"/>
    </xf>
    <xf numFmtId="7" fontId="1" fillId="0" borderId="0" xfId="0" applyNumberFormat="1" applyFont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27" xfId="0" applyFont="1" applyBorder="1" applyAlignment="1" quotePrefix="1">
      <alignment vertical="center" wrapText="1"/>
    </xf>
    <xf numFmtId="4" fontId="7" fillId="12" borderId="20" xfId="0" applyNumberFormat="1" applyFont="1" applyFill="1" applyBorder="1" applyAlignment="1">
      <alignment horizontal="center" vertical="center"/>
    </xf>
    <xf numFmtId="170" fontId="7" fillId="12" borderId="20" xfId="0" applyNumberFormat="1" applyFont="1" applyFill="1" applyBorder="1" applyAlignment="1">
      <alignment horizontal="center" vertical="center"/>
    </xf>
    <xf numFmtId="4" fontId="1" fillId="12" borderId="20" xfId="0" applyNumberFormat="1" applyFont="1" applyFill="1" applyBorder="1" applyAlignment="1">
      <alignment horizontal="center" vertical="center"/>
    </xf>
    <xf numFmtId="4" fontId="1" fillId="12" borderId="38" xfId="0" applyNumberFormat="1" applyFont="1" applyFill="1" applyBorder="1" applyAlignment="1">
      <alignment horizontal="center" vertical="center"/>
    </xf>
    <xf numFmtId="170" fontId="7" fillId="12" borderId="12" xfId="0" applyNumberFormat="1" applyFont="1" applyFill="1" applyBorder="1" applyAlignment="1">
      <alignment horizontal="center" vertical="center"/>
    </xf>
    <xf numFmtId="4" fontId="1" fillId="12" borderId="33" xfId="0" applyNumberFormat="1" applyFont="1" applyFill="1" applyBorder="1" applyAlignment="1">
      <alignment horizontal="center" vertical="center"/>
    </xf>
    <xf numFmtId="0" fontId="39" fillId="0" borderId="5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0" fillId="0" borderId="1" xfId="0" applyFont="1" applyBorder="1" applyAlignment="1">
      <alignment vertical="center" wrapText="1"/>
    </xf>
    <xf numFmtId="0" fontId="5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0" fillId="5" borderId="1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vertical="center" wrapText="1"/>
    </xf>
    <xf numFmtId="0" fontId="5" fillId="2" borderId="1" xfId="0" applyFont="1" applyFill="1" applyBorder="1" applyAlignment="1" quotePrefix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1" fillId="2" borderId="1" xfId="0" applyNumberFormat="1" applyFont="1" applyFill="1" applyBorder="1" applyAlignment="1">
      <alignment horizontal="center" vertical="center"/>
    </xf>
    <xf numFmtId="4" fontId="50" fillId="2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 quotePrefix="1">
      <alignment horizontal="center" vertical="center" wrapText="1"/>
    </xf>
    <xf numFmtId="0" fontId="22" fillId="0" borderId="7" xfId="0" applyFont="1" applyBorder="1" applyAlignment="1">
      <alignment vertical="center" wrapText="1"/>
    </xf>
    <xf numFmtId="4" fontId="5" fillId="0" borderId="7" xfId="0" applyNumberFormat="1" applyFont="1" applyFill="1" applyBorder="1" applyAlignment="1">
      <alignment horizontal="center" vertical="center"/>
    </xf>
    <xf numFmtId="4" fontId="51" fillId="0" borderId="7" xfId="0" applyNumberFormat="1" applyFont="1" applyFill="1" applyBorder="1" applyAlignment="1">
      <alignment horizontal="center" vertical="center"/>
    </xf>
    <xf numFmtId="4" fontId="50" fillId="0" borderId="7" xfId="0" applyNumberFormat="1" applyFont="1" applyFill="1" applyBorder="1" applyAlignment="1">
      <alignment horizontal="center" vertical="center"/>
    </xf>
    <xf numFmtId="4" fontId="50" fillId="0" borderId="1" xfId="0" applyNumberFormat="1" applyFont="1" applyFill="1" applyBorder="1" applyAlignment="1">
      <alignment horizontal="center" vertical="center"/>
    </xf>
    <xf numFmtId="4" fontId="5" fillId="4" borderId="8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 quotePrefix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" fontId="49" fillId="0" borderId="1" xfId="0" applyNumberFormat="1" applyFont="1" applyFill="1" applyBorder="1" applyAlignment="1">
      <alignment horizontal="right" vertical="center"/>
    </xf>
    <xf numFmtId="4" fontId="35" fillId="0" borderId="1" xfId="0" applyNumberFormat="1" applyFont="1" applyFill="1" applyBorder="1" applyAlignment="1">
      <alignment horizontal="right" vertical="center"/>
    </xf>
    <xf numFmtId="4" fontId="6" fillId="4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 quotePrefix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0" fillId="0" borderId="1" xfId="0" applyNumberFormat="1" applyFont="1" applyFill="1" applyBorder="1" applyAlignment="1">
      <alignment horizontal="center" vertical="center"/>
    </xf>
    <xf numFmtId="4" fontId="50" fillId="0" borderId="1" xfId="0" applyNumberFormat="1" applyFont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1" fillId="2" borderId="1" xfId="0" applyNumberFormat="1" applyFont="1" applyFill="1" applyBorder="1" applyAlignment="1">
      <alignment horizontal="center" vertical="center" wrapText="1"/>
    </xf>
    <xf numFmtId="4" fontId="50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1" fillId="0" borderId="1" xfId="0" applyNumberFormat="1" applyFont="1" applyBorder="1" applyAlignment="1">
      <alignment horizontal="center" vertical="center" wrapText="1"/>
    </xf>
    <xf numFmtId="4" fontId="50" fillId="0" borderId="1" xfId="0" applyNumberFormat="1" applyFont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49" fillId="0" borderId="1" xfId="0" applyNumberFormat="1" applyFont="1" applyBorder="1" applyAlignment="1">
      <alignment horizontal="right" vertical="center" wrapText="1"/>
    </xf>
    <xf numFmtId="4" fontId="35" fillId="0" borderId="1" xfId="0" applyNumberFormat="1" applyFont="1" applyBorder="1" applyAlignment="1">
      <alignment horizontal="righ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53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1" fillId="0" borderId="1" xfId="0" applyNumberFormat="1" applyFont="1" applyFill="1" applyBorder="1" applyAlignment="1">
      <alignment horizontal="center" vertical="center" wrapText="1"/>
    </xf>
    <xf numFmtId="4" fontId="5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49" fillId="0" borderId="1" xfId="0" applyNumberFormat="1" applyFont="1" applyFill="1" applyBorder="1" applyAlignment="1">
      <alignment horizontal="right" vertical="center" wrapText="1"/>
    </xf>
    <xf numFmtId="4" fontId="35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6" fillId="0" borderId="2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0" fillId="0" borderId="1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4" fontId="50" fillId="0" borderId="1" xfId="0" applyNumberFormat="1" applyFont="1" applyFill="1" applyBorder="1" applyAlignment="1">
      <alignment horizontal="right" vertical="center" wrapText="1"/>
    </xf>
    <xf numFmtId="4" fontId="35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49" fillId="0" borderId="1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4" fontId="35" fillId="0" borderId="0" xfId="0" applyNumberFormat="1" applyFont="1" applyAlignment="1">
      <alignment horizontal="right" vertical="center" wrapText="1"/>
    </xf>
    <xf numFmtId="4" fontId="6" fillId="0" borderId="0" xfId="0" applyNumberFormat="1" applyFont="1" applyFill="1" applyAlignment="1">
      <alignment vertical="center" wrapText="1"/>
    </xf>
    <xf numFmtId="4" fontId="6" fillId="0" borderId="0" xfId="0" applyNumberFormat="1" applyFont="1" applyAlignment="1">
      <alignment horizontal="right" vertical="center"/>
    </xf>
    <xf numFmtId="4" fontId="35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vertical="center"/>
    </xf>
    <xf numFmtId="0" fontId="6" fillId="4" borderId="0" xfId="0" applyFont="1" applyFill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6" borderId="39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22" fillId="6" borderId="40" xfId="0" applyFont="1" applyFill="1" applyBorder="1" applyAlignment="1">
      <alignment horizontal="center" vertical="center"/>
    </xf>
    <xf numFmtId="0" fontId="1" fillId="6" borderId="41" xfId="0" applyNumberFormat="1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 quotePrefix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4" fontId="1" fillId="3" borderId="23" xfId="0" applyNumberFormat="1" applyFont="1" applyFill="1" applyBorder="1" applyAlignment="1">
      <alignment vertical="center" wrapText="1"/>
    </xf>
    <xf numFmtId="4" fontId="1" fillId="0" borderId="23" xfId="0" applyNumberFormat="1" applyFont="1" applyBorder="1" applyAlignment="1">
      <alignment vertical="center" wrapText="1"/>
    </xf>
    <xf numFmtId="4" fontId="3" fillId="0" borderId="23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vertical="center" wrapText="1"/>
    </xf>
    <xf numFmtId="4" fontId="1" fillId="3" borderId="23" xfId="0" applyNumberFormat="1" applyFont="1" applyFill="1" applyBorder="1" applyAlignment="1">
      <alignment horizontal="center" vertical="center" wrapText="1"/>
    </xf>
    <xf numFmtId="0" fontId="1" fillId="5" borderId="42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1" fillId="5" borderId="43" xfId="0" applyFont="1" applyFill="1" applyBorder="1" applyAlignment="1">
      <alignment horizontal="left" vertical="center" wrapText="1"/>
    </xf>
    <xf numFmtId="4" fontId="1" fillId="5" borderId="43" xfId="0" applyNumberFormat="1" applyFont="1" applyFill="1" applyBorder="1" applyAlignment="1">
      <alignment horizontal="center" vertical="center" wrapText="1"/>
    </xf>
    <xf numFmtId="4" fontId="11" fillId="5" borderId="43" xfId="0" applyNumberFormat="1" applyFont="1" applyFill="1" applyBorder="1" applyAlignment="1">
      <alignment horizontal="center" vertical="center" wrapText="1"/>
    </xf>
    <xf numFmtId="4" fontId="10" fillId="5" borderId="43" xfId="0" applyNumberFormat="1" applyFont="1" applyFill="1" applyBorder="1" applyAlignment="1">
      <alignment horizontal="center" vertical="center" wrapText="1"/>
    </xf>
    <xf numFmtId="4" fontId="1" fillId="5" borderId="44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54" fillId="0" borderId="0" xfId="0" applyNumberFormat="1" applyFont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vertical="center"/>
    </xf>
    <xf numFmtId="49" fontId="15" fillId="0" borderId="0" xfId="0" applyNumberFormat="1" applyFont="1" applyAlignment="1" quotePrefix="1">
      <alignment horizontal="left" vertical="center" wrapText="1" indent="2"/>
    </xf>
    <xf numFmtId="4" fontId="15" fillId="0" borderId="0" xfId="0" applyNumberFormat="1" applyFont="1" applyFill="1" applyAlignment="1">
      <alignment vertical="center"/>
    </xf>
    <xf numFmtId="0" fontId="1" fillId="0" borderId="0" xfId="0" applyFont="1" applyAlignment="1">
      <alignment/>
    </xf>
    <xf numFmtId="49" fontId="3" fillId="0" borderId="0" xfId="0" applyNumberFormat="1" applyFont="1" applyAlignment="1">
      <alignment wrapText="1"/>
    </xf>
    <xf numFmtId="49" fontId="1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9" fontId="1" fillId="4" borderId="1" xfId="0" applyNumberFormat="1" applyFont="1" applyFill="1" applyBorder="1" applyAlignment="1">
      <alignment/>
    </xf>
    <xf numFmtId="4" fontId="1" fillId="4" borderId="1" xfId="0" applyNumberFormat="1" applyFont="1" applyFill="1" applyBorder="1" applyAlignment="1">
      <alignment/>
    </xf>
    <xf numFmtId="49" fontId="3" fillId="4" borderId="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justify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left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10" fillId="3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10" fillId="5" borderId="1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0" fillId="0" borderId="3" xfId="0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vertical="center"/>
    </xf>
    <xf numFmtId="10" fontId="1" fillId="2" borderId="17" xfId="0" applyNumberFormat="1" applyFont="1" applyFill="1" applyBorder="1" applyAlignment="1">
      <alignment vertical="center"/>
    </xf>
    <xf numFmtId="10" fontId="3" fillId="0" borderId="24" xfId="0" applyNumberFormat="1" applyFont="1" applyFill="1" applyBorder="1" applyAlignment="1">
      <alignment vertical="center"/>
    </xf>
    <xf numFmtId="10" fontId="3" fillId="0" borderId="29" xfId="0" applyNumberFormat="1" applyFont="1" applyFill="1" applyBorder="1" applyAlignment="1">
      <alignment vertical="center"/>
    </xf>
    <xf numFmtId="10" fontId="1" fillId="2" borderId="24" xfId="0" applyNumberFormat="1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4" fontId="1" fillId="2" borderId="35" xfId="0" applyNumberFormat="1" applyFont="1" applyFill="1" applyBorder="1" applyAlignment="1">
      <alignment vertical="center"/>
    </xf>
    <xf numFmtId="10" fontId="1" fillId="4" borderId="15" xfId="0" applyNumberFormat="1" applyFont="1" applyFill="1" applyBorder="1" applyAlignment="1">
      <alignment vertical="center"/>
    </xf>
    <xf numFmtId="10" fontId="1" fillId="4" borderId="24" xfId="0" applyNumberFormat="1" applyFont="1" applyFill="1" applyBorder="1" applyAlignment="1">
      <alignment vertical="center"/>
    </xf>
    <xf numFmtId="10" fontId="7" fillId="12" borderId="12" xfId="0" applyNumberFormat="1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left" vertical="center" wrapText="1"/>
    </xf>
    <xf numFmtId="4" fontId="7" fillId="6" borderId="20" xfId="0" applyNumberFormat="1" applyFont="1" applyFill="1" applyBorder="1" applyAlignment="1">
      <alignment vertical="center"/>
    </xf>
    <xf numFmtId="4" fontId="7" fillId="6" borderId="38" xfId="0" applyNumberFormat="1" applyFont="1" applyFill="1" applyBorder="1" applyAlignment="1">
      <alignment vertical="center"/>
    </xf>
    <xf numFmtId="4" fontId="7" fillId="6" borderId="20" xfId="0" applyNumberFormat="1" applyFont="1" applyFill="1" applyBorder="1" applyAlignment="1">
      <alignment horizontal="center" vertical="center"/>
    </xf>
    <xf numFmtId="4" fontId="7" fillId="6" borderId="38" xfId="0" applyNumberFormat="1" applyFont="1" applyFill="1" applyBorder="1" applyAlignment="1">
      <alignment horizontal="center" vertical="center"/>
    </xf>
    <xf numFmtId="10" fontId="7" fillId="6" borderId="12" xfId="0" applyNumberFormat="1" applyFont="1" applyFill="1" applyBorder="1" applyAlignment="1">
      <alignment horizontal="center" vertical="center"/>
    </xf>
    <xf numFmtId="4" fontId="7" fillId="6" borderId="14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1" xfId="0" applyFont="1" applyBorder="1" applyAlignment="1" quotePrefix="1">
      <alignment vertical="center" wrapText="1"/>
    </xf>
    <xf numFmtId="0" fontId="3" fillId="4" borderId="15" xfId="0" applyFont="1" applyFill="1" applyBorder="1" applyAlignment="1">
      <alignment horizontal="center" vertical="center" wrapText="1"/>
    </xf>
    <xf numFmtId="4" fontId="1" fillId="2" borderId="37" xfId="0" applyNumberFormat="1" applyFont="1" applyFill="1" applyBorder="1" applyAlignment="1">
      <alignment vertical="center"/>
    </xf>
    <xf numFmtId="0" fontId="3" fillId="0" borderId="36" xfId="0" applyFont="1" applyBorder="1" applyAlignment="1" quotePrefix="1">
      <alignment vertical="center" wrapText="1"/>
    </xf>
    <xf numFmtId="0" fontId="7" fillId="12" borderId="33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/>
    </xf>
    <xf numFmtId="10" fontId="1" fillId="4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 vertical="center"/>
    </xf>
    <xf numFmtId="10" fontId="1" fillId="4" borderId="1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70" fontId="3" fillId="0" borderId="0" xfId="0" applyNumberFormat="1" applyFont="1" applyFill="1" applyAlignment="1">
      <alignment vertical="center"/>
    </xf>
    <xf numFmtId="44" fontId="7" fillId="0" borderId="0" xfId="0" applyNumberFormat="1" applyFont="1" applyAlignment="1">
      <alignment vertical="center"/>
    </xf>
    <xf numFmtId="44" fontId="7" fillId="0" borderId="0" xfId="0" applyNumberFormat="1" applyFont="1" applyAlignment="1">
      <alignment vertical="center" wrapText="1"/>
    </xf>
    <xf numFmtId="0" fontId="1" fillId="0" borderId="45" xfId="0" applyNumberFormat="1" applyFont="1" applyBorder="1" applyAlignment="1">
      <alignment vertical="center"/>
    </xf>
    <xf numFmtId="0" fontId="1" fillId="0" borderId="45" xfId="0" applyNumberFormat="1" applyFont="1" applyFill="1" applyBorder="1" applyAlignment="1">
      <alignment vertical="center"/>
    </xf>
    <xf numFmtId="4" fontId="3" fillId="0" borderId="7" xfId="0" applyNumberFormat="1" applyFont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169" fontId="3" fillId="0" borderId="0" xfId="0" applyNumberFormat="1" applyFont="1" applyFill="1" applyAlignment="1">
      <alignment horizontal="right" vertical="center" wrapText="1"/>
    </xf>
    <xf numFmtId="0" fontId="7" fillId="0" borderId="45" xfId="0" applyNumberFormat="1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170" fontId="1" fillId="0" borderId="1" xfId="0" applyNumberFormat="1" applyFont="1" applyFill="1" applyBorder="1" applyAlignment="1">
      <alignment horizontal="right" vertical="center" wrapText="1"/>
    </xf>
    <xf numFmtId="0" fontId="7" fillId="0" borderId="45" xfId="0" applyFont="1" applyBorder="1" applyAlignment="1">
      <alignment vertical="center"/>
    </xf>
    <xf numFmtId="49" fontId="3" fillId="0" borderId="1" xfId="0" applyNumberFormat="1" applyFont="1" applyBorder="1" applyAlignment="1" quotePrefix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49" fontId="3" fillId="5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 quotePrefix="1">
      <alignment horizontal="left" vertical="center"/>
    </xf>
    <xf numFmtId="49" fontId="1" fillId="5" borderId="1" xfId="0" applyNumberFormat="1" applyFont="1" applyFill="1" applyBorder="1" applyAlignment="1">
      <alignment horizontal="left" vertical="center"/>
    </xf>
    <xf numFmtId="49" fontId="3" fillId="5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 quotePrefix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9" borderId="1" xfId="0" applyNumberFormat="1" applyFont="1" applyFill="1" applyBorder="1" applyAlignment="1" quotePrefix="1">
      <alignment horizontal="left" vertical="center" wrapText="1"/>
    </xf>
    <xf numFmtId="169" fontId="3" fillId="0" borderId="2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53" fillId="0" borderId="1" xfId="0" applyFont="1" applyBorder="1" applyAlignment="1" quotePrefix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5" fillId="0" borderId="0" xfId="0" applyFont="1" applyAlignment="1" quotePrefix="1">
      <alignment horizontal="left" vertical="center" wrapText="1"/>
    </xf>
    <xf numFmtId="4" fontId="1" fillId="5" borderId="23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center" wrapText="1"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7" fillId="2" borderId="43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" fontId="15" fillId="0" borderId="0" xfId="0" applyNumberFormat="1" applyFont="1" applyAlignment="1">
      <alignment horizontal="right" vertical="center"/>
    </xf>
    <xf numFmtId="0" fontId="31" fillId="0" borderId="2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textRotation="255" wrapText="1"/>
    </xf>
    <xf numFmtId="4" fontId="1" fillId="0" borderId="20" xfId="0" applyNumberFormat="1" applyFont="1" applyBorder="1" applyAlignment="1">
      <alignment horizontal="center" vertical="center" textRotation="255" wrapText="1"/>
    </xf>
    <xf numFmtId="0" fontId="5" fillId="4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left" vertical="center" wrapText="1"/>
    </xf>
    <xf numFmtId="4" fontId="6" fillId="0" borderId="7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6" fillId="0" borderId="2" xfId="0" applyNumberFormat="1" applyFont="1" applyBorder="1" applyAlignment="1">
      <alignment horizontal="left" vertical="center" wrapText="1"/>
    </xf>
    <xf numFmtId="4" fontId="6" fillId="0" borderId="7" xfId="0" applyNumberFormat="1" applyFont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left" vertical="center" wrapText="1"/>
    </xf>
    <xf numFmtId="4" fontId="6" fillId="0" borderId="7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4" fontId="33" fillId="0" borderId="2" xfId="0" applyNumberFormat="1" applyFont="1" applyBorder="1" applyAlignment="1">
      <alignment horizontal="center" vertical="center"/>
    </xf>
    <xf numFmtId="4" fontId="33" fillId="0" borderId="8" xfId="0" applyNumberFormat="1" applyFont="1" applyBorder="1" applyAlignment="1">
      <alignment horizontal="center" vertical="center"/>
    </xf>
    <xf numFmtId="4" fontId="33" fillId="0" borderId="7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13" fillId="0" borderId="2" xfId="0" applyNumberFormat="1" applyFont="1" applyFill="1" applyBorder="1" applyAlignment="1">
      <alignment horizontal="left" vertical="center" wrapText="1"/>
    </xf>
    <xf numFmtId="4" fontId="13" fillId="0" borderId="43" xfId="0" applyNumberFormat="1" applyFont="1" applyFill="1" applyBorder="1" applyAlignment="1">
      <alignment horizontal="left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4" fontId="40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textRotation="255" wrapText="1"/>
    </xf>
    <xf numFmtId="0" fontId="39" fillId="0" borderId="0" xfId="0" applyFont="1" applyAlignment="1">
      <alignment horizontal="right" vertical="center" wrapText="1"/>
    </xf>
    <xf numFmtId="0" fontId="39" fillId="0" borderId="0" xfId="0" applyFont="1" applyBorder="1" applyAlignment="1">
      <alignment horizontal="right" vertical="center" wrapText="1"/>
    </xf>
    <xf numFmtId="0" fontId="43" fillId="0" borderId="1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/>
    </xf>
    <xf numFmtId="4" fontId="13" fillId="0" borderId="2" xfId="0" applyNumberFormat="1" applyFont="1" applyBorder="1" applyAlignment="1">
      <alignment horizontal="left" vertical="center" wrapText="1"/>
    </xf>
    <xf numFmtId="4" fontId="13" fillId="0" borderId="8" xfId="0" applyNumberFormat="1" applyFont="1" applyBorder="1" applyAlignment="1">
      <alignment horizontal="left" vertical="center" wrapText="1"/>
    </xf>
    <xf numFmtId="4" fontId="13" fillId="0" borderId="43" xfId="0" applyNumberFormat="1" applyFont="1" applyBorder="1" applyAlignment="1">
      <alignment horizontal="left" vertical="center" wrapText="1"/>
    </xf>
    <xf numFmtId="0" fontId="33" fillId="0" borderId="0" xfId="0" applyFont="1" applyAlignment="1">
      <alignment horizontal="center"/>
    </xf>
    <xf numFmtId="0" fontId="23" fillId="0" borderId="5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2" borderId="51" xfId="0" applyFont="1" applyFill="1" applyBorder="1" applyAlignment="1">
      <alignment horizontal="left" vertical="center" wrapText="1"/>
    </xf>
    <xf numFmtId="0" fontId="23" fillId="2" borderId="52" xfId="0" applyFont="1" applyFill="1" applyBorder="1" applyAlignment="1">
      <alignment horizontal="left" vertical="center" wrapText="1"/>
    </xf>
    <xf numFmtId="0" fontId="23" fillId="2" borderId="37" xfId="0" applyFont="1" applyFill="1" applyBorder="1" applyAlignment="1">
      <alignment horizontal="left" vertical="top" wrapText="1"/>
    </xf>
    <xf numFmtId="0" fontId="23" fillId="2" borderId="6" xfId="0" applyFont="1" applyFill="1" applyBorder="1" applyAlignment="1">
      <alignment horizontal="left" vertical="top" wrapText="1"/>
    </xf>
    <xf numFmtId="4" fontId="13" fillId="0" borderId="7" xfId="0" applyNumberFormat="1" applyFont="1" applyBorder="1" applyAlignment="1">
      <alignment horizontal="left" vertical="center" wrapText="1"/>
    </xf>
    <xf numFmtId="0" fontId="33" fillId="0" borderId="53" xfId="0" applyFont="1" applyBorder="1" applyAlignment="1">
      <alignment horizontal="center"/>
    </xf>
    <xf numFmtId="0" fontId="33" fillId="0" borderId="5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55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33" fillId="0" borderId="54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55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justify" wrapText="1"/>
    </xf>
    <xf numFmtId="0" fontId="15" fillId="0" borderId="0" xfId="0" applyFont="1" applyAlignment="1">
      <alignment horizontal="left" vertical="center" wrapText="1" indent="3"/>
    </xf>
    <xf numFmtId="0" fontId="15" fillId="0" borderId="0" xfId="0" applyFont="1" applyAlignment="1" quotePrefix="1">
      <alignment horizontal="left" vertical="center"/>
    </xf>
    <xf numFmtId="0" fontId="15" fillId="0" borderId="0" xfId="0" applyFont="1" applyAlignment="1" quotePrefix="1">
      <alignment horizontal="left" vertical="justify" wrapText="1"/>
    </xf>
    <xf numFmtId="0" fontId="15" fillId="0" borderId="0" xfId="0" applyFont="1" applyAlignment="1" quotePrefix="1">
      <alignment horizontal="justify" vertical="justify" wrapText="1"/>
    </xf>
    <xf numFmtId="4" fontId="3" fillId="0" borderId="2" xfId="0" applyNumberFormat="1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justify" vertical="center" wrapText="1"/>
    </xf>
    <xf numFmtId="4" fontId="3" fillId="0" borderId="1" xfId="0" applyNumberFormat="1" applyFont="1" applyFill="1" applyBorder="1" applyAlignment="1">
      <alignment horizontal="justify" vertical="center" wrapText="1"/>
    </xf>
    <xf numFmtId="4" fontId="1" fillId="0" borderId="1" xfId="0" applyNumberFormat="1" applyFont="1" applyBorder="1" applyAlignment="1">
      <alignment horizontal="justify" vertical="center" wrapText="1"/>
    </xf>
    <xf numFmtId="4" fontId="3" fillId="0" borderId="2" xfId="0" applyNumberFormat="1" applyFont="1" applyFill="1" applyBorder="1" applyAlignment="1">
      <alignment horizontal="justify" vertical="center" wrapText="1"/>
    </xf>
    <xf numFmtId="4" fontId="3" fillId="0" borderId="8" xfId="0" applyNumberFormat="1" applyFont="1" applyFill="1" applyBorder="1" applyAlignment="1">
      <alignment horizontal="justify" vertical="center" wrapText="1"/>
    </xf>
    <xf numFmtId="4" fontId="3" fillId="0" borderId="7" xfId="0" applyNumberFormat="1" applyFont="1" applyFill="1" applyBorder="1" applyAlignment="1">
      <alignment horizontal="justify" vertical="center" wrapText="1"/>
    </xf>
    <xf numFmtId="168" fontId="1" fillId="8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 quotePrefix="1">
      <alignment horizontal="left" vertical="center" wrapText="1"/>
    </xf>
    <xf numFmtId="49" fontId="3" fillId="0" borderId="8" xfId="0" applyNumberFormat="1" applyFont="1" applyBorder="1" applyAlignment="1" quotePrefix="1">
      <alignment horizontal="left" vertical="center" wrapText="1"/>
    </xf>
    <xf numFmtId="49" fontId="3" fillId="0" borderId="7" xfId="0" applyNumberFormat="1" applyFont="1" applyBorder="1" applyAlignment="1" quotePrefix="1">
      <alignment horizontal="left" vertical="center" wrapText="1"/>
    </xf>
    <xf numFmtId="0" fontId="3" fillId="0" borderId="2" xfId="0" applyNumberFormat="1" applyFont="1" applyBorder="1" applyAlignment="1" quotePrefix="1">
      <alignment horizontal="left" vertical="center" wrapText="1"/>
    </xf>
    <xf numFmtId="0" fontId="3" fillId="0" borderId="8" xfId="0" applyNumberFormat="1" applyFont="1" applyBorder="1" applyAlignment="1" quotePrefix="1">
      <alignment horizontal="left" vertical="center" wrapText="1"/>
    </xf>
    <xf numFmtId="0" fontId="3" fillId="0" borderId="7" xfId="0" applyNumberFormat="1" applyFont="1" applyBorder="1" applyAlignment="1" quotePrefix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0" fontId="3" fillId="0" borderId="2" xfId="0" applyFont="1" applyBorder="1" applyAlignment="1" quotePrefix="1">
      <alignment horizontal="left" vertical="center" wrapText="1"/>
    </xf>
    <xf numFmtId="0" fontId="3" fillId="0" borderId="8" xfId="0" applyFont="1" applyBorder="1" applyAlignment="1" quotePrefix="1">
      <alignment horizontal="left" vertical="center" wrapText="1"/>
    </xf>
    <xf numFmtId="0" fontId="3" fillId="0" borderId="7" xfId="0" applyFont="1" applyBorder="1" applyAlignment="1" quotePrefix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wrapText="1"/>
    </xf>
    <xf numFmtId="0" fontId="1" fillId="0" borderId="45" xfId="0" applyFont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31" xfId="0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 wrapText="1"/>
    </xf>
    <xf numFmtId="4" fontId="43" fillId="0" borderId="20" xfId="0" applyNumberFormat="1" applyFont="1" applyFill="1" applyBorder="1" applyAlignment="1">
      <alignment horizontal="center" vertical="center" wrapText="1"/>
    </xf>
    <xf numFmtId="4" fontId="43" fillId="0" borderId="56" xfId="0" applyNumberFormat="1" applyFont="1" applyBorder="1" applyAlignment="1">
      <alignment horizontal="center" vertical="center" wrapText="1"/>
    </xf>
    <xf numFmtId="4" fontId="43" fillId="0" borderId="57" xfId="0" applyNumberFormat="1" applyFont="1" applyBorder="1" applyAlignment="1">
      <alignment horizontal="center" vertical="center" wrapText="1"/>
    </xf>
    <xf numFmtId="4" fontId="43" fillId="0" borderId="39" xfId="0" applyNumberFormat="1" applyFont="1" applyBorder="1" applyAlignment="1">
      <alignment horizontal="center" vertical="center" wrapText="1"/>
    </xf>
    <xf numFmtId="4" fontId="43" fillId="0" borderId="48" xfId="0" applyNumberFormat="1" applyFont="1" applyBorder="1" applyAlignment="1">
      <alignment horizontal="center" vertical="center" wrapText="1"/>
    </xf>
    <xf numFmtId="4" fontId="43" fillId="0" borderId="17" xfId="0" applyNumberFormat="1" applyFont="1" applyBorder="1" applyAlignment="1">
      <alignment horizontal="center" vertical="center" wrapText="1"/>
    </xf>
    <xf numFmtId="4" fontId="43" fillId="0" borderId="2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43" fillId="0" borderId="17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4" fontId="43" fillId="3" borderId="17" xfId="0" applyNumberFormat="1" applyFont="1" applyFill="1" applyBorder="1" applyAlignment="1">
      <alignment horizontal="center" vertical="center" wrapText="1"/>
    </xf>
    <xf numFmtId="4" fontId="43" fillId="3" borderId="2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" fontId="43" fillId="0" borderId="58" xfId="0" applyNumberFormat="1" applyFont="1" applyFill="1" applyBorder="1" applyAlignment="1">
      <alignment horizontal="center" vertical="center" wrapText="1"/>
    </xf>
    <xf numFmtId="4" fontId="43" fillId="0" borderId="38" xfId="0" applyNumberFormat="1" applyFont="1" applyFill="1" applyBorder="1" applyAlignment="1">
      <alignment horizontal="center" vertical="center" wrapText="1"/>
    </xf>
    <xf numFmtId="4" fontId="43" fillId="0" borderId="33" xfId="0" applyNumberFormat="1" applyFont="1" applyFill="1" applyBorder="1" applyAlignment="1">
      <alignment horizontal="center" vertical="center" wrapText="1"/>
    </xf>
    <xf numFmtId="170" fontId="43" fillId="0" borderId="17" xfId="0" applyNumberFormat="1" applyFont="1" applyFill="1" applyBorder="1" applyAlignment="1">
      <alignment horizontal="center" vertical="center" wrapText="1"/>
    </xf>
    <xf numFmtId="170" fontId="43" fillId="0" borderId="20" xfId="0" applyNumberFormat="1" applyFont="1" applyFill="1" applyBorder="1" applyAlignment="1">
      <alignment horizontal="center" vertical="center" wrapText="1"/>
    </xf>
    <xf numFmtId="4" fontId="43" fillId="0" borderId="58" xfId="0" applyNumberFormat="1" applyFont="1" applyBorder="1" applyAlignment="1">
      <alignment horizontal="center" vertical="center" wrapText="1"/>
    </xf>
    <xf numFmtId="4" fontId="43" fillId="0" borderId="38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" fontId="43" fillId="0" borderId="27" xfId="0" applyNumberFormat="1" applyFont="1" applyBorder="1" applyAlignment="1">
      <alignment horizontal="center" vertical="center" wrapText="1"/>
    </xf>
    <xf numFmtId="0" fontId="3" fillId="0" borderId="29" xfId="0" applyFont="1" applyBorder="1" applyAlignment="1" quotePrefix="1">
      <alignment horizontal="left" vertical="center" wrapText="1"/>
    </xf>
    <xf numFmtId="0" fontId="3" fillId="0" borderId="27" xfId="0" applyFont="1" applyBorder="1" applyAlignment="1" quotePrefix="1">
      <alignment horizontal="left" vertical="center" wrapText="1"/>
    </xf>
    <xf numFmtId="0" fontId="3" fillId="0" borderId="31" xfId="0" applyFont="1" applyBorder="1" applyAlignment="1" quotePrefix="1">
      <alignment horizontal="left" vertical="center" wrapText="1"/>
    </xf>
    <xf numFmtId="170" fontId="43" fillId="0" borderId="27" xfId="0" applyNumberFormat="1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Zał.nr 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wy%20folder\gok\2006\bud&#380;et\KSI&#280;GA%20G&#321;-GOK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zBudzet%202007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S"/>
      <sheetName val="016"/>
      <sheetName val="071"/>
      <sheetName val="201-Z"/>
      <sheetName val="202-S"/>
      <sheetName val="221"/>
      <sheetName val="224"/>
      <sheetName val="227"/>
      <sheetName val="231"/>
      <sheetName val="234"/>
      <sheetName val="240"/>
      <sheetName val="4"/>
      <sheetName val="701"/>
      <sheetName val="702"/>
      <sheetName val="750-darow."/>
      <sheetName val="751 kty finans."/>
      <sheetName val="ASYGN."/>
      <sheetName val="Wykonanie"/>
      <sheetName val="plan, wykonanie"/>
    </sheetNames>
    <sheetDataSet>
      <sheetData sheetId="0">
        <row r="87">
          <cell r="AR87">
            <v>0.55</v>
          </cell>
        </row>
        <row r="88">
          <cell r="AN88">
            <v>385</v>
          </cell>
          <cell r="AP88">
            <v>8780</v>
          </cell>
          <cell r="AV88">
            <v>99700</v>
          </cell>
        </row>
        <row r="133">
          <cell r="AN133">
            <v>385</v>
          </cell>
          <cell r="AP133">
            <v>15580</v>
          </cell>
          <cell r="AR133">
            <v>9252.47</v>
          </cell>
        </row>
        <row r="145">
          <cell r="AV145">
            <v>153700</v>
          </cell>
        </row>
      </sheetData>
      <sheetData sheetId="11">
        <row r="208">
          <cell r="I208">
            <v>480</v>
          </cell>
          <cell r="K208">
            <v>5460.08</v>
          </cell>
          <cell r="M208">
            <v>399.66</v>
          </cell>
          <cell r="O208">
            <v>744.18</v>
          </cell>
          <cell r="Q208">
            <v>381.85</v>
          </cell>
          <cell r="W208">
            <v>776.36</v>
          </cell>
          <cell r="AG208">
            <v>17508.23</v>
          </cell>
          <cell r="AI208">
            <v>0</v>
          </cell>
          <cell r="AK208">
            <v>132.02</v>
          </cell>
          <cell r="AM208">
            <v>2961.6</v>
          </cell>
          <cell r="AO208">
            <v>998</v>
          </cell>
          <cell r="BI208">
            <v>1168.47</v>
          </cell>
          <cell r="BK208">
            <v>80</v>
          </cell>
          <cell r="BO208">
            <v>1429.07</v>
          </cell>
          <cell r="BQ208">
            <v>98.9</v>
          </cell>
          <cell r="BS208">
            <v>167.4</v>
          </cell>
          <cell r="BU208">
            <v>1000</v>
          </cell>
          <cell r="BY208">
            <v>2925</v>
          </cell>
          <cell r="CA208">
            <v>1737.45</v>
          </cell>
          <cell r="CE208">
            <v>46547.68</v>
          </cell>
          <cell r="CG208">
            <v>320</v>
          </cell>
          <cell r="CI208">
            <v>8600</v>
          </cell>
          <cell r="CK208">
            <v>1000</v>
          </cell>
          <cell r="CM208">
            <v>9708.19</v>
          </cell>
          <cell r="CW208">
            <v>2293</v>
          </cell>
          <cell r="DK208">
            <v>293</v>
          </cell>
          <cell r="DO208">
            <v>205.23</v>
          </cell>
          <cell r="DQ208">
            <v>991.44</v>
          </cell>
          <cell r="DU208">
            <v>985</v>
          </cell>
        </row>
        <row r="303">
          <cell r="I303">
            <v>809</v>
          </cell>
          <cell r="K303">
            <v>9587.11</v>
          </cell>
          <cell r="M303">
            <v>801.3</v>
          </cell>
          <cell r="O303">
            <v>1338.28</v>
          </cell>
          <cell r="Q303">
            <v>500.75</v>
          </cell>
          <cell r="W303">
            <v>1503.48</v>
          </cell>
          <cell r="AG303">
            <v>18488.99</v>
          </cell>
          <cell r="AI303">
            <v>966.13</v>
          </cell>
          <cell r="AK303">
            <v>177.03</v>
          </cell>
          <cell r="AM303">
            <v>3523.04</v>
          </cell>
          <cell r="AO303">
            <v>1529</v>
          </cell>
          <cell r="BI303">
            <v>1572.4</v>
          </cell>
          <cell r="BK303">
            <v>80</v>
          </cell>
          <cell r="BO303">
            <v>2034.86</v>
          </cell>
          <cell r="BQ303">
            <v>117.06</v>
          </cell>
          <cell r="BS303">
            <v>167.4</v>
          </cell>
          <cell r="BU303">
            <v>1800</v>
          </cell>
          <cell r="BY303">
            <v>10376.65</v>
          </cell>
          <cell r="CA303">
            <v>7877.17</v>
          </cell>
          <cell r="CE303">
            <v>66973.67</v>
          </cell>
          <cell r="CG303">
            <v>1420</v>
          </cell>
          <cell r="CI303">
            <v>11370</v>
          </cell>
          <cell r="CK303">
            <v>6000</v>
          </cell>
          <cell r="CM303">
            <v>13940.96</v>
          </cell>
          <cell r="CW303">
            <v>2293</v>
          </cell>
          <cell r="DK303">
            <v>428.9</v>
          </cell>
          <cell r="DO303">
            <v>315.07</v>
          </cell>
          <cell r="DQ303">
            <v>1489.07</v>
          </cell>
          <cell r="DU303">
            <v>985</v>
          </cell>
        </row>
      </sheetData>
      <sheetData sheetId="14">
        <row r="34">
          <cell r="J34">
            <v>9250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zamotuły"/>
      <sheetName val="Rejestr weksli"/>
      <sheetName val="DOTACJE"/>
      <sheetName val="KREDYTY"/>
      <sheetName val="Autopoprawka 2007"/>
      <sheetName val="901"/>
      <sheetName val="902"/>
      <sheetName val="Zaangażowanie I"/>
      <sheetName val="Zaangażowanie II"/>
      <sheetName val="Harmonogram spłat"/>
      <sheetName val="D sierpień "/>
      <sheetName val="Zmiany D"/>
      <sheetName val="Dochody zał.Nr 1"/>
      <sheetName val="Zmiany W"/>
      <sheetName val="W sierpień"/>
      <sheetName val="Wydatki zał.Nr 2"/>
      <sheetName val="Deficyt"/>
      <sheetName val="Dotacje Zał.Nr 3"/>
      <sheetName val="PRZROZ zał.Nr4"/>
      <sheetName val="Prognoza długu do zał.Nr4"/>
      <sheetName val="DO zał.Nr5"/>
      <sheetName val="GFOŚ zał.Nr6"/>
      <sheetName val="ZUK plan zał.Nr 7"/>
      <sheetName val="Inwest.2006 zał.nr 8"/>
      <sheetName val="Inwestycje"/>
      <sheetName val="Arkusz4"/>
      <sheetName val="WPI zał.nr 9"/>
      <sheetName val="Doch.własnenr10"/>
      <sheetName val="Inwestycje projekt"/>
      <sheetName val="Plan finansowy WUW"/>
      <sheetName val="Zminay PRZROZ"/>
      <sheetName val="zmiany WPI"/>
      <sheetName val="Zmiany inwest"/>
      <sheetName val="Plan finansowy"/>
      <sheetName val="Środki specjalne"/>
      <sheetName val="WPI zał.nr 8 "/>
      <sheetName val="porównanie"/>
      <sheetName val="ZUK zmiany"/>
      <sheetName val="zestawienie"/>
      <sheetName val="Arkusz2"/>
      <sheetName val="Arkusz1"/>
      <sheetName val="BGK"/>
      <sheetName val="Dni Kaźmierza"/>
      <sheetName val="STYCZEŃ"/>
      <sheetName val="LUTY"/>
      <sheetName val="MARZEC"/>
      <sheetName val="KWIECIEŃ"/>
      <sheetName val="Roboczy"/>
      <sheetName val="MAJ"/>
      <sheetName val="CZERWIEC"/>
      <sheetName val="LIPIEC"/>
      <sheetName val="SIERPIE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41"/>
  <sheetViews>
    <sheetView zoomScale="150" zoomScaleNormal="150" workbookViewId="0" topLeftCell="B27">
      <selection activeCell="A1" sqref="A1:G42"/>
    </sheetView>
  </sheetViews>
  <sheetFormatPr defaultColWidth="9.140625" defaultRowHeight="12.75"/>
  <cols>
    <col min="1" max="1" width="10.7109375" style="0" customWidth="1"/>
    <col min="2" max="2" width="58.8515625" style="0" customWidth="1"/>
    <col min="3" max="3" width="13.7109375" style="0" customWidth="1"/>
    <col min="4" max="4" width="11.140625" style="0" customWidth="1"/>
    <col min="5" max="5" width="11.57421875" style="0" customWidth="1"/>
    <col min="7" max="7" width="10.421875" style="0" customWidth="1"/>
  </cols>
  <sheetData>
    <row r="1" spans="1:7" ht="20.25">
      <c r="A1" s="764" t="s">
        <v>1177</v>
      </c>
      <c r="B1" s="764"/>
      <c r="C1" s="764"/>
      <c r="D1" s="764"/>
      <c r="E1" s="764"/>
      <c r="F1" s="764"/>
      <c r="G1" s="764"/>
    </row>
    <row r="2" spans="1:7" ht="20.25">
      <c r="A2" s="764" t="s">
        <v>1178</v>
      </c>
      <c r="B2" s="764"/>
      <c r="C2" s="764"/>
      <c r="D2" s="764"/>
      <c r="E2" s="764"/>
      <c r="F2" s="764"/>
      <c r="G2" s="764"/>
    </row>
    <row r="3" spans="1:7" ht="20.25">
      <c r="A3" s="764" t="s">
        <v>814</v>
      </c>
      <c r="B3" s="764"/>
      <c r="C3" s="764"/>
      <c r="D3" s="764"/>
      <c r="E3" s="764"/>
      <c r="F3" s="764"/>
      <c r="G3" s="764"/>
    </row>
    <row r="4" spans="1:7" ht="15.75">
      <c r="A4" s="15"/>
      <c r="B4" s="16"/>
      <c r="C4" s="16"/>
      <c r="D4" s="17"/>
      <c r="E4" s="17"/>
      <c r="F4" s="17"/>
      <c r="G4" s="17"/>
    </row>
    <row r="5" spans="1:7" ht="15.75">
      <c r="A5" s="15" t="s">
        <v>66</v>
      </c>
      <c r="B5" s="16"/>
      <c r="C5" s="16"/>
      <c r="D5" s="17"/>
      <c r="E5" s="17"/>
      <c r="F5" s="17"/>
      <c r="G5" s="17"/>
    </row>
    <row r="6" spans="1:7" ht="15.75">
      <c r="A6" s="18" t="s">
        <v>715</v>
      </c>
      <c r="B6" s="16"/>
      <c r="C6" s="16"/>
      <c r="D6" s="17"/>
      <c r="E6" s="17"/>
      <c r="F6" s="17"/>
      <c r="G6" s="17"/>
    </row>
    <row r="7" spans="1:7" ht="15.75">
      <c r="A7" s="19" t="s">
        <v>67</v>
      </c>
      <c r="B7" s="16"/>
      <c r="C7" s="16"/>
      <c r="D7" s="17"/>
      <c r="E7" s="17"/>
      <c r="F7" s="17"/>
      <c r="G7" s="17"/>
    </row>
    <row r="8" spans="1:7" ht="15.75">
      <c r="A8" s="19" t="s">
        <v>1116</v>
      </c>
      <c r="B8" s="16"/>
      <c r="C8" s="16"/>
      <c r="D8" s="17"/>
      <c r="E8" s="17"/>
      <c r="F8" s="17"/>
      <c r="G8" s="17"/>
    </row>
    <row r="9" spans="1:7" ht="15.75">
      <c r="A9" s="19" t="s">
        <v>1118</v>
      </c>
      <c r="B9" s="16"/>
      <c r="C9" s="16"/>
      <c r="D9" s="17"/>
      <c r="E9" s="17"/>
      <c r="F9" s="17"/>
      <c r="G9" s="17"/>
    </row>
    <row r="10" spans="1:7" ht="15.75">
      <c r="A10" s="19" t="s">
        <v>1117</v>
      </c>
      <c r="B10" s="16"/>
      <c r="C10" s="16"/>
      <c r="D10" s="17"/>
      <c r="E10" s="17"/>
      <c r="F10" s="17"/>
      <c r="G10" s="17"/>
    </row>
    <row r="11" spans="1:7" ht="15.75">
      <c r="A11" s="15"/>
      <c r="B11" s="16"/>
      <c r="C11" s="16"/>
      <c r="D11" s="17"/>
      <c r="E11" s="17"/>
      <c r="F11" s="17"/>
      <c r="G11" s="17"/>
    </row>
    <row r="12" spans="1:7" ht="30.75" customHeight="1">
      <c r="A12" s="765" t="s">
        <v>0</v>
      </c>
      <c r="B12" s="765"/>
      <c r="C12" s="765"/>
      <c r="D12" s="765"/>
      <c r="E12" s="765"/>
      <c r="F12" s="765"/>
      <c r="G12" s="765"/>
    </row>
    <row r="13" spans="1:7" ht="15.75">
      <c r="A13" s="21" t="s">
        <v>1179</v>
      </c>
      <c r="B13" s="16"/>
      <c r="C13" s="15" t="s">
        <v>1</v>
      </c>
      <c r="D13" s="17"/>
      <c r="E13" s="17"/>
      <c r="F13" s="17"/>
      <c r="G13" s="17"/>
    </row>
    <row r="14" spans="1:7" ht="15.75">
      <c r="A14" s="21" t="s">
        <v>1180</v>
      </c>
      <c r="B14" s="16"/>
      <c r="C14" s="18" t="s">
        <v>2</v>
      </c>
      <c r="D14" s="17"/>
      <c r="E14" s="17"/>
      <c r="F14" s="17"/>
      <c r="G14" s="17"/>
    </row>
    <row r="15" spans="1:7" ht="15.75">
      <c r="A15" s="21" t="s">
        <v>1181</v>
      </c>
      <c r="B15" s="16"/>
      <c r="C15" s="15" t="s">
        <v>3</v>
      </c>
      <c r="D15" s="17"/>
      <c r="E15" s="17"/>
      <c r="F15" s="17"/>
      <c r="G15" s="17"/>
    </row>
    <row r="16" spans="1:7" ht="15.75">
      <c r="A16" s="21" t="s">
        <v>1182</v>
      </c>
      <c r="B16" s="16"/>
      <c r="C16" s="15" t="s">
        <v>4</v>
      </c>
      <c r="D16" s="17"/>
      <c r="E16" s="17"/>
      <c r="F16" s="17"/>
      <c r="G16" s="17"/>
    </row>
    <row r="17" spans="1:7" ht="15.75">
      <c r="A17" s="18"/>
      <c r="B17" s="16"/>
      <c r="C17" s="16"/>
      <c r="D17" s="17"/>
      <c r="E17" s="17"/>
      <c r="F17" s="17"/>
      <c r="G17" s="17"/>
    </row>
    <row r="18" spans="1:7" ht="15.75">
      <c r="A18" s="18" t="s">
        <v>5</v>
      </c>
      <c r="B18" s="16"/>
      <c r="C18" s="16"/>
      <c r="D18" s="17"/>
      <c r="E18" s="17"/>
      <c r="F18" s="17"/>
      <c r="G18" s="17"/>
    </row>
    <row r="19" spans="1:7" ht="15.75">
      <c r="A19" s="21" t="s">
        <v>1183</v>
      </c>
      <c r="B19" s="16"/>
      <c r="C19" s="15" t="s">
        <v>6</v>
      </c>
      <c r="D19" s="17"/>
      <c r="E19" s="17"/>
      <c r="F19" s="17"/>
      <c r="G19" s="17"/>
    </row>
    <row r="20" spans="1:7" ht="15.75">
      <c r="A20" s="21" t="s">
        <v>1184</v>
      </c>
      <c r="B20" s="16"/>
      <c r="C20" s="15" t="s">
        <v>7</v>
      </c>
      <c r="D20" s="17"/>
      <c r="E20" s="17"/>
      <c r="F20" s="17"/>
      <c r="G20" s="17"/>
    </row>
    <row r="21" spans="1:7" ht="15.75">
      <c r="A21" s="21" t="s">
        <v>1185</v>
      </c>
      <c r="B21" s="16"/>
      <c r="C21" s="18" t="s">
        <v>8</v>
      </c>
      <c r="D21" s="17"/>
      <c r="E21" s="17"/>
      <c r="F21" s="17"/>
      <c r="G21" s="17"/>
    </row>
    <row r="22" spans="1:7" ht="15.75">
      <c r="A22" s="21" t="s">
        <v>1186</v>
      </c>
      <c r="B22" s="16"/>
      <c r="C22" s="15" t="s">
        <v>9</v>
      </c>
      <c r="D22" s="17"/>
      <c r="E22" s="17"/>
      <c r="F22" s="17"/>
      <c r="G22" s="17"/>
    </row>
    <row r="23" spans="1:7" ht="15.75">
      <c r="A23" s="15"/>
      <c r="B23" s="16"/>
      <c r="C23" s="16"/>
      <c r="D23" s="17"/>
      <c r="E23" s="17"/>
      <c r="F23" s="17"/>
      <c r="G23" s="17"/>
    </row>
    <row r="24" spans="1:7" ht="15.75">
      <c r="A24" s="765" t="s">
        <v>10</v>
      </c>
      <c r="B24" s="765"/>
      <c r="C24" s="15" t="s">
        <v>297</v>
      </c>
      <c r="D24" s="17"/>
      <c r="E24" s="17"/>
      <c r="F24" s="17"/>
      <c r="G24" s="17"/>
    </row>
    <row r="25" spans="1:7" ht="15.75">
      <c r="A25" s="23" t="s">
        <v>1051</v>
      </c>
      <c r="B25" s="733" t="s">
        <v>1052</v>
      </c>
      <c r="C25" s="18" t="s">
        <v>1055</v>
      </c>
      <c r="D25" s="17"/>
      <c r="E25" s="17"/>
      <c r="F25" s="17"/>
      <c r="G25" s="17"/>
    </row>
    <row r="26" spans="1:7" ht="15.75">
      <c r="A26" s="23"/>
      <c r="B26" s="733" t="s">
        <v>1053</v>
      </c>
      <c r="C26" s="18" t="s">
        <v>1054</v>
      </c>
      <c r="D26" s="17"/>
      <c r="E26" s="17"/>
      <c r="F26" s="17"/>
      <c r="G26" s="17"/>
    </row>
    <row r="27" spans="1:7" ht="15.75">
      <c r="A27" s="765" t="s">
        <v>11</v>
      </c>
      <c r="B27" s="765"/>
      <c r="C27" s="15" t="s">
        <v>298</v>
      </c>
      <c r="D27" s="17"/>
      <c r="E27" s="17"/>
      <c r="F27" s="17"/>
      <c r="G27" s="17"/>
    </row>
    <row r="28" spans="1:7" ht="15.75">
      <c r="A28" s="23" t="s">
        <v>1051</v>
      </c>
      <c r="B28" s="20" t="s">
        <v>287</v>
      </c>
      <c r="C28" s="767" t="s">
        <v>288</v>
      </c>
      <c r="D28" s="767"/>
      <c r="E28" s="17"/>
      <c r="F28" s="17"/>
      <c r="G28" s="17"/>
    </row>
    <row r="29" spans="1:7" ht="15.75">
      <c r="A29" s="23"/>
      <c r="B29" s="23" t="s">
        <v>295</v>
      </c>
      <c r="C29" s="18"/>
      <c r="D29" s="18"/>
      <c r="E29" s="17"/>
      <c r="F29" s="17"/>
      <c r="G29" s="17"/>
    </row>
    <row r="30" spans="1:7" ht="15.75">
      <c r="A30" s="20"/>
      <c r="B30" s="733" t="s">
        <v>289</v>
      </c>
      <c r="C30" s="768" t="s">
        <v>291</v>
      </c>
      <c r="D30" s="768"/>
      <c r="E30" s="17"/>
      <c r="F30" s="17"/>
      <c r="G30" s="17"/>
    </row>
    <row r="31" spans="1:7" ht="15.75">
      <c r="A31" s="20"/>
      <c r="B31" s="733" t="s">
        <v>290</v>
      </c>
      <c r="C31" s="768" t="s">
        <v>292</v>
      </c>
      <c r="D31" s="768"/>
      <c r="E31" s="17"/>
      <c r="F31" s="17"/>
      <c r="G31" s="17"/>
    </row>
    <row r="32" spans="1:7" ht="15.75">
      <c r="A32" s="20"/>
      <c r="B32" s="733" t="s">
        <v>293</v>
      </c>
      <c r="C32" s="768" t="s">
        <v>294</v>
      </c>
      <c r="D32" s="768"/>
      <c r="E32" s="17"/>
      <c r="F32" s="17"/>
      <c r="G32" s="17"/>
    </row>
    <row r="33" spans="1:7" ht="15.75">
      <c r="A33" s="20"/>
      <c r="B33" s="20" t="s">
        <v>296</v>
      </c>
      <c r="C33" s="18" t="s">
        <v>299</v>
      </c>
      <c r="D33" s="17"/>
      <c r="E33" s="17"/>
      <c r="F33" s="17"/>
      <c r="G33" s="17"/>
    </row>
    <row r="34" spans="1:7" ht="15.75">
      <c r="A34" s="15" t="s">
        <v>1187</v>
      </c>
      <c r="B34" s="16"/>
      <c r="C34" s="16"/>
      <c r="D34" s="17"/>
      <c r="E34" s="17"/>
      <c r="F34" s="17"/>
      <c r="G34" s="17"/>
    </row>
    <row r="35" spans="1:7" ht="15.75">
      <c r="A35" s="16"/>
      <c r="B35" s="18" t="s">
        <v>14</v>
      </c>
      <c r="C35" s="22"/>
      <c r="D35" s="17"/>
      <c r="E35" s="17"/>
      <c r="F35" s="17"/>
      <c r="G35" s="17"/>
    </row>
    <row r="36" spans="1:7" ht="15.75">
      <c r="A36" s="16"/>
      <c r="B36" s="18" t="s">
        <v>15</v>
      </c>
      <c r="C36" s="16"/>
      <c r="D36" s="17"/>
      <c r="E36" s="17"/>
      <c r="F36" s="17"/>
      <c r="G36" s="17"/>
    </row>
    <row r="37" spans="1:7" ht="35.25" customHeight="1">
      <c r="A37" s="765" t="s">
        <v>300</v>
      </c>
      <c r="B37" s="765"/>
      <c r="C37" s="765"/>
      <c r="D37" s="765"/>
      <c r="E37" s="765"/>
      <c r="F37" s="765"/>
      <c r="G37" s="765"/>
    </row>
    <row r="38" spans="1:7" ht="18" customHeight="1">
      <c r="A38" s="765" t="s">
        <v>301</v>
      </c>
      <c r="B38" s="765"/>
      <c r="C38" s="765"/>
      <c r="D38" s="765"/>
      <c r="E38" s="765"/>
      <c r="F38" s="765"/>
      <c r="G38" s="765"/>
    </row>
    <row r="39" spans="1:7" ht="15.75">
      <c r="A39" s="15" t="s">
        <v>302</v>
      </c>
      <c r="B39" s="16"/>
      <c r="C39" s="16"/>
      <c r="D39" s="17"/>
      <c r="E39" s="17"/>
      <c r="F39" s="17"/>
      <c r="G39" s="17"/>
    </row>
    <row r="40" spans="1:7" ht="15.75">
      <c r="A40" s="765" t="s">
        <v>303</v>
      </c>
      <c r="B40" s="766"/>
      <c r="C40" s="766"/>
      <c r="D40" s="766"/>
      <c r="E40" s="766"/>
      <c r="F40" s="766"/>
      <c r="G40" s="766"/>
    </row>
    <row r="41" spans="1:7" ht="15.75">
      <c r="A41" s="765" t="s">
        <v>304</v>
      </c>
      <c r="B41" s="766"/>
      <c r="C41" s="766"/>
      <c r="D41" s="766"/>
      <c r="E41" s="766"/>
      <c r="F41" s="766"/>
      <c r="G41" s="766"/>
    </row>
  </sheetData>
  <mergeCells count="14">
    <mergeCell ref="A40:G40"/>
    <mergeCell ref="A41:G41"/>
    <mergeCell ref="A24:B24"/>
    <mergeCell ref="A27:B27"/>
    <mergeCell ref="A37:G37"/>
    <mergeCell ref="A38:G38"/>
    <mergeCell ref="C28:D28"/>
    <mergeCell ref="C30:D30"/>
    <mergeCell ref="C31:D31"/>
    <mergeCell ref="C32:D32"/>
    <mergeCell ref="A1:G1"/>
    <mergeCell ref="A2:G2"/>
    <mergeCell ref="A3:G3"/>
    <mergeCell ref="A12:G12"/>
  </mergeCells>
  <printOptions/>
  <pageMargins left="0.37" right="0.42" top="0.51" bottom="0.17" header="0.5" footer="0.17"/>
  <pageSetup fitToHeight="1" fitToWidth="1"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F47"/>
  <sheetViews>
    <sheetView zoomScale="150" zoomScaleNormal="150" workbookViewId="0" topLeftCell="A36">
      <selection activeCell="A1" sqref="A1:F47"/>
    </sheetView>
  </sheetViews>
  <sheetFormatPr defaultColWidth="9.140625" defaultRowHeight="12.75"/>
  <cols>
    <col min="2" max="2" width="23.7109375" style="0" customWidth="1"/>
    <col min="3" max="3" width="17.140625" style="0" customWidth="1"/>
    <col min="4" max="4" width="19.28125" style="0" customWidth="1"/>
    <col min="5" max="5" width="6.421875" style="0" bestFit="1" customWidth="1"/>
    <col min="6" max="6" width="27.7109375" style="256" customWidth="1"/>
  </cols>
  <sheetData>
    <row r="1" spans="1:6" ht="12.75">
      <c r="A1" s="159"/>
      <c r="B1" s="159"/>
      <c r="C1" s="125"/>
      <c r="D1" s="159"/>
      <c r="E1" s="134"/>
      <c r="F1" s="154" t="s">
        <v>968</v>
      </c>
    </row>
    <row r="2" spans="1:6" ht="12.75">
      <c r="A2" s="159"/>
      <c r="B2" s="159"/>
      <c r="C2" s="159"/>
      <c r="D2" s="159"/>
      <c r="E2" s="159"/>
      <c r="F2" s="242"/>
    </row>
    <row r="3" spans="1:6" ht="15.75">
      <c r="A3" s="803" t="s">
        <v>969</v>
      </c>
      <c r="B3" s="803"/>
      <c r="C3" s="803"/>
      <c r="D3" s="803"/>
      <c r="E3" s="803"/>
      <c r="F3" s="803"/>
    </row>
    <row r="4" spans="1:6" ht="13.5" thickBot="1">
      <c r="A4" s="158"/>
      <c r="B4" s="159"/>
      <c r="C4" s="159"/>
      <c r="D4" s="159"/>
      <c r="E4" s="159"/>
      <c r="F4" s="242"/>
    </row>
    <row r="5" spans="1:6" ht="34.5" customHeight="1">
      <c r="A5" s="804" t="s">
        <v>73</v>
      </c>
      <c r="B5" s="804" t="s">
        <v>74</v>
      </c>
      <c r="C5" s="804" t="s">
        <v>55</v>
      </c>
      <c r="D5" s="804" t="s">
        <v>872</v>
      </c>
      <c r="E5" s="804" t="s">
        <v>90</v>
      </c>
      <c r="F5" s="804" t="s">
        <v>970</v>
      </c>
    </row>
    <row r="6" spans="1:6" ht="35.25" customHeight="1" thickBot="1">
      <c r="A6" s="805"/>
      <c r="B6" s="805"/>
      <c r="C6" s="805"/>
      <c r="D6" s="805"/>
      <c r="E6" s="805"/>
      <c r="F6" s="805"/>
    </row>
    <row r="7" spans="1:6" ht="12.75">
      <c r="A7" s="206"/>
      <c r="B7" s="206"/>
      <c r="C7" s="206"/>
      <c r="D7" s="206"/>
      <c r="E7" s="206"/>
      <c r="F7" s="243"/>
    </row>
    <row r="8" spans="1:6" ht="12.75">
      <c r="A8" s="209">
        <v>80101</v>
      </c>
      <c r="B8" s="210" t="s">
        <v>971</v>
      </c>
      <c r="C8" s="211">
        <f>SUM(C9:C13)</f>
        <v>154650</v>
      </c>
      <c r="D8" s="211">
        <f>SUM(D9:D13)</f>
        <v>140620.88999999998</v>
      </c>
      <c r="E8" s="138">
        <f aca="true" t="shared" si="0" ref="E8:E13">D8*100/C8</f>
        <v>90.92847720659553</v>
      </c>
      <c r="F8" s="244"/>
    </row>
    <row r="9" spans="1:6" ht="12.75">
      <c r="A9" s="245" t="s">
        <v>959</v>
      </c>
      <c r="B9" s="246" t="s">
        <v>960</v>
      </c>
      <c r="C9" s="215">
        <f>'do zał.nr 6'!C69</f>
        <v>50</v>
      </c>
      <c r="D9" s="215">
        <f>'do zał.nr 6'!D69</f>
        <v>30</v>
      </c>
      <c r="E9" s="123">
        <f t="shared" si="0"/>
        <v>60</v>
      </c>
      <c r="F9" s="800" t="s">
        <v>972</v>
      </c>
    </row>
    <row r="10" spans="1:6" ht="12.75">
      <c r="A10" s="245" t="s">
        <v>355</v>
      </c>
      <c r="B10" s="246" t="s">
        <v>356</v>
      </c>
      <c r="C10" s="215">
        <f>'do zał.nr 6'!C36+'do zał.nr 6'!C52+'do zał.nr 6'!C70</f>
        <v>121100</v>
      </c>
      <c r="D10" s="215">
        <f>'do zał.nr 6'!D36+'do zał.nr 6'!D52+'do zał.nr 6'!D70</f>
        <v>120237.48999999999</v>
      </c>
      <c r="E10" s="123">
        <f t="shared" si="0"/>
        <v>99.28777043765483</v>
      </c>
      <c r="F10" s="801"/>
    </row>
    <row r="11" spans="1:6" ht="12.75" customHeight="1">
      <c r="A11" s="245" t="s">
        <v>122</v>
      </c>
      <c r="B11" s="246" t="s">
        <v>123</v>
      </c>
      <c r="C11" s="131">
        <f>'do zał.nr 6'!C37+'do zał.nr 6'!C53+'do zał.nr 6'!C71</f>
        <v>250</v>
      </c>
      <c r="D11" s="131">
        <f>'do zał.nr 6'!D37+'do zał.nr 6'!D53+'do zał.nr 6'!D71</f>
        <v>67.37</v>
      </c>
      <c r="E11" s="123">
        <f t="shared" si="0"/>
        <v>26.948</v>
      </c>
      <c r="F11" s="801"/>
    </row>
    <row r="12" spans="1:6" s="247" customFormat="1" ht="38.25">
      <c r="A12" s="121" t="s">
        <v>973</v>
      </c>
      <c r="B12" s="57" t="s">
        <v>974</v>
      </c>
      <c r="C12" s="131">
        <f>'do zał.nr 6'!C38+'do zał.nr 6'!C54+'do zał.nr 6'!C72</f>
        <v>32000</v>
      </c>
      <c r="D12" s="131">
        <f>'do zał.nr 6'!D38+'do zał.nr 6'!D54+'do zał.nr 6'!D72</f>
        <v>18506.03</v>
      </c>
      <c r="E12" s="123">
        <f t="shared" si="0"/>
        <v>57.83134375</v>
      </c>
      <c r="F12" s="801"/>
    </row>
    <row r="13" spans="1:6" ht="13.5" thickBot="1">
      <c r="A13" s="121" t="s">
        <v>96</v>
      </c>
      <c r="B13" s="57" t="s">
        <v>960</v>
      </c>
      <c r="C13" s="127">
        <f>'do zał.nr 6'!C73</f>
        <v>1250</v>
      </c>
      <c r="D13" s="127">
        <f>'do zał.nr 6'!D73</f>
        <v>1780</v>
      </c>
      <c r="E13" s="123">
        <f t="shared" si="0"/>
        <v>142.4</v>
      </c>
      <c r="F13" s="802"/>
    </row>
    <row r="14" spans="1:6" ht="12.75">
      <c r="A14" s="206"/>
      <c r="B14" s="206"/>
      <c r="C14" s="206"/>
      <c r="D14" s="206"/>
      <c r="E14" s="206"/>
      <c r="F14" s="243"/>
    </row>
    <row r="15" spans="1:6" ht="12.75">
      <c r="A15" s="209">
        <v>80101</v>
      </c>
      <c r="B15" s="210" t="s">
        <v>724</v>
      </c>
      <c r="C15" s="211">
        <f>SUM(C16:C19)</f>
        <v>154650</v>
      </c>
      <c r="D15" s="211">
        <f>SUM(D16:D19)</f>
        <v>135077.1</v>
      </c>
      <c r="E15" s="138">
        <f>D15*100/C15</f>
        <v>87.34374393792434</v>
      </c>
      <c r="F15" s="244"/>
    </row>
    <row r="16" spans="1:6" ht="25.5" customHeight="1">
      <c r="A16" s="121">
        <v>4210</v>
      </c>
      <c r="B16" s="57" t="s">
        <v>1201</v>
      </c>
      <c r="C16" s="131">
        <f>'do zał.nr 6'!C41+'do zał.nr 6'!C57+'do zał.nr 6'!C76</f>
        <v>29200</v>
      </c>
      <c r="D16" s="131">
        <f>'do zał.nr 6'!D41+'do zał.nr 6'!D57+'do zał.nr 6'!D76</f>
        <v>25415.07</v>
      </c>
      <c r="E16" s="123">
        <f>D16*100/C16</f>
        <v>87.0379109589041</v>
      </c>
      <c r="F16" s="800" t="s">
        <v>975</v>
      </c>
    </row>
    <row r="17" spans="1:6" ht="12.75">
      <c r="A17" s="121">
        <v>4220</v>
      </c>
      <c r="B17" s="57" t="s">
        <v>976</v>
      </c>
      <c r="C17" s="131">
        <f>'do zał.nr 6'!C42+'do zał.nr 6'!C58+'do zał.nr 6'!C77</f>
        <v>121100</v>
      </c>
      <c r="D17" s="131">
        <f>'do zał.nr 6'!D42+'do zał.nr 6'!D58+'do zał.nr 6'!D77</f>
        <v>106178.28</v>
      </c>
      <c r="E17" s="123">
        <f>D17*100/C17</f>
        <v>87.6781833195706</v>
      </c>
      <c r="F17" s="801"/>
    </row>
    <row r="18" spans="1:6" ht="25.5">
      <c r="A18" s="121">
        <v>4240</v>
      </c>
      <c r="B18" s="57" t="s">
        <v>584</v>
      </c>
      <c r="C18" s="131">
        <f>'do zał.nr 6'!C43+'do zał.nr 6'!C59+'do zał.nr 6'!C78</f>
        <v>1100</v>
      </c>
      <c r="D18" s="131">
        <f>'do zał.nr 6'!D43+'do zał.nr 6'!D59+'do zał.nr 6'!D78</f>
        <v>570.39</v>
      </c>
      <c r="E18" s="123">
        <f>D18*100/C18</f>
        <v>51.85363636363636</v>
      </c>
      <c r="F18" s="801"/>
    </row>
    <row r="19" spans="1:6" ht="13.5" thickBot="1">
      <c r="A19" s="121">
        <v>4300</v>
      </c>
      <c r="B19" s="57" t="s">
        <v>1203</v>
      </c>
      <c r="C19" s="131">
        <f>'do zał.nr 6'!C44+'do zał.nr 6'!C60+'do zał.nr 6'!C79</f>
        <v>3250</v>
      </c>
      <c r="D19" s="131">
        <f>'do zał.nr 6'!D44+'do zał.nr 6'!D60+'do zał.nr 6'!D79</f>
        <v>2913.3599999999997</v>
      </c>
      <c r="E19" s="123">
        <f>D19*100/C19</f>
        <v>89.64184615384613</v>
      </c>
      <c r="F19" s="802"/>
    </row>
    <row r="20" spans="1:6" ht="12.75">
      <c r="A20" s="206"/>
      <c r="B20" s="206"/>
      <c r="C20" s="206"/>
      <c r="D20" s="206"/>
      <c r="E20" s="206"/>
      <c r="F20" s="243"/>
    </row>
    <row r="21" spans="1:6" ht="12.75" customHeight="1">
      <c r="A21" s="209">
        <v>80104</v>
      </c>
      <c r="B21" s="210" t="s">
        <v>971</v>
      </c>
      <c r="C21" s="211">
        <f>SUM(C22:C24)</f>
        <v>84000</v>
      </c>
      <c r="D21" s="211">
        <f>SUM(D22:D24)</f>
        <v>82332.09000000001</v>
      </c>
      <c r="E21" s="138">
        <f>D21*100/C21</f>
        <v>98.01439285714287</v>
      </c>
      <c r="F21" s="244"/>
    </row>
    <row r="22" spans="1:6" ht="12.75">
      <c r="A22" s="245" t="s">
        <v>355</v>
      </c>
      <c r="B22" s="246" t="s">
        <v>356</v>
      </c>
      <c r="C22" s="215">
        <f>'do zał.nr 6'!C7</f>
        <v>78900</v>
      </c>
      <c r="D22" s="215">
        <f>'do zał.nr 6'!D7</f>
        <v>76472.21</v>
      </c>
      <c r="E22" s="248">
        <f>D22*100/C22</f>
        <v>96.92295310519647</v>
      </c>
      <c r="F22" s="800" t="s">
        <v>972</v>
      </c>
    </row>
    <row r="23" spans="1:6" ht="12.75">
      <c r="A23" s="245" t="s">
        <v>122</v>
      </c>
      <c r="B23" s="246" t="s">
        <v>123</v>
      </c>
      <c r="C23" s="215">
        <f>'do zał.nr 6'!C8</f>
        <v>100</v>
      </c>
      <c r="D23" s="215">
        <f>'do zał.nr 6'!D8</f>
        <v>28.88</v>
      </c>
      <c r="E23" s="248">
        <f>D23*100/C23</f>
        <v>28.88</v>
      </c>
      <c r="F23" s="801"/>
    </row>
    <row r="24" spans="1:6" ht="38.25">
      <c r="A24" s="121" t="s">
        <v>973</v>
      </c>
      <c r="B24" s="57" t="s">
        <v>974</v>
      </c>
      <c r="C24" s="127">
        <f>'do zał.nr 6'!C9</f>
        <v>5000</v>
      </c>
      <c r="D24" s="127">
        <f>'do zał.nr 6'!D9</f>
        <v>5831</v>
      </c>
      <c r="E24" s="248">
        <f>D24*100/C24</f>
        <v>116.62</v>
      </c>
      <c r="F24" s="801"/>
    </row>
    <row r="25" spans="1:6" ht="12.75">
      <c r="A25" s="249"/>
      <c r="B25" s="249"/>
      <c r="C25" s="249"/>
      <c r="D25" s="249"/>
      <c r="E25" s="249"/>
      <c r="F25" s="250"/>
    </row>
    <row r="26" spans="1:6" ht="12.75" customHeight="1">
      <c r="A26" s="209">
        <v>80104</v>
      </c>
      <c r="B26" s="210" t="s">
        <v>724</v>
      </c>
      <c r="C26" s="211">
        <f>SUM(C27:C30)</f>
        <v>84000</v>
      </c>
      <c r="D26" s="211">
        <f>SUM(D27:D30)</f>
        <v>77106.73</v>
      </c>
      <c r="E26" s="138">
        <f>D26*100/C26</f>
        <v>91.79372619047619</v>
      </c>
      <c r="F26" s="244"/>
    </row>
    <row r="27" spans="1:6" ht="25.5" customHeight="1">
      <c r="A27" s="121">
        <v>4210</v>
      </c>
      <c r="B27" s="57" t="s">
        <v>1201</v>
      </c>
      <c r="C27" s="131">
        <f>'do zał.nr 6'!C12</f>
        <v>4520</v>
      </c>
      <c r="D27" s="131">
        <f>'do zał.nr 6'!D12</f>
        <v>0</v>
      </c>
      <c r="E27" s="123">
        <f>D27*100/C27</f>
        <v>0</v>
      </c>
      <c r="F27" s="800" t="s">
        <v>983</v>
      </c>
    </row>
    <row r="28" spans="1:6" ht="12.75">
      <c r="A28" s="121">
        <v>4220</v>
      </c>
      <c r="B28" s="57" t="s">
        <v>976</v>
      </c>
      <c r="C28" s="131">
        <f>'do zał.nr 6'!C13</f>
        <v>78900</v>
      </c>
      <c r="D28" s="131">
        <f>'do zał.nr 6'!D13</f>
        <v>76852.03</v>
      </c>
      <c r="E28" s="123">
        <f>D28*100/C28</f>
        <v>97.40434727503168</v>
      </c>
      <c r="F28" s="801"/>
    </row>
    <row r="29" spans="1:6" ht="25.5">
      <c r="A29" s="121">
        <v>4240</v>
      </c>
      <c r="B29" s="57" t="s">
        <v>584</v>
      </c>
      <c r="C29" s="131">
        <f>'do zał.nr 6'!C14</f>
        <v>200</v>
      </c>
      <c r="D29" s="131">
        <f>'do zał.nr 6'!D14</f>
        <v>0</v>
      </c>
      <c r="E29" s="123">
        <f>D29*100/C29</f>
        <v>0</v>
      </c>
      <c r="F29" s="801"/>
    </row>
    <row r="30" spans="1:6" ht="12.75" customHeight="1" thickBot="1">
      <c r="A30" s="121">
        <v>4300</v>
      </c>
      <c r="B30" s="57" t="s">
        <v>1203</v>
      </c>
      <c r="C30" s="131">
        <f>'do zał.nr 6'!C15</f>
        <v>380</v>
      </c>
      <c r="D30" s="131">
        <f>'do zał.nr 6'!D15</f>
        <v>254.7</v>
      </c>
      <c r="E30" s="123">
        <f>D30*100/C30</f>
        <v>67.02631578947368</v>
      </c>
      <c r="F30" s="810"/>
    </row>
    <row r="31" spans="1:6" ht="12.75" customHeight="1">
      <c r="A31" s="206"/>
      <c r="B31" s="206"/>
      <c r="C31" s="206"/>
      <c r="D31" s="206"/>
      <c r="E31" s="206"/>
      <c r="F31" s="251"/>
    </row>
    <row r="32" spans="1:6" ht="15.75" customHeight="1" thickBot="1">
      <c r="A32" s="811" t="s">
        <v>869</v>
      </c>
      <c r="B32" s="811"/>
      <c r="C32" s="811"/>
      <c r="D32" s="811"/>
      <c r="E32" s="811"/>
      <c r="F32" s="811"/>
    </row>
    <row r="33" spans="1:6" ht="12.75">
      <c r="A33" s="206"/>
      <c r="B33" s="206"/>
      <c r="C33" s="206"/>
      <c r="D33" s="206"/>
      <c r="E33" s="206"/>
      <c r="F33" s="206"/>
    </row>
    <row r="34" spans="1:6" ht="12.75">
      <c r="A34" s="209">
        <v>80110</v>
      </c>
      <c r="B34" s="210" t="s">
        <v>971</v>
      </c>
      <c r="C34" s="273">
        <f>SUM(C35:C38)</f>
        <v>14420</v>
      </c>
      <c r="D34" s="273">
        <f>SUM(D35:D38)</f>
        <v>19104.93</v>
      </c>
      <c r="E34" s="138">
        <f>D34*100/C34</f>
        <v>132.48911234396672</v>
      </c>
      <c r="F34" s="211"/>
    </row>
    <row r="35" spans="1:6" ht="12.75">
      <c r="A35" s="245" t="s">
        <v>959</v>
      </c>
      <c r="B35" s="246" t="s">
        <v>960</v>
      </c>
      <c r="C35" s="215">
        <f>'do zał.nr 6'!C87</f>
        <v>50</v>
      </c>
      <c r="D35" s="215">
        <f>'do zał.nr 6'!D87</f>
        <v>0</v>
      </c>
      <c r="E35" s="123">
        <f>D35*100/C35</f>
        <v>0</v>
      </c>
      <c r="F35" s="801" t="s">
        <v>870</v>
      </c>
    </row>
    <row r="36" spans="1:6" ht="12.75">
      <c r="A36" s="245" t="s">
        <v>122</v>
      </c>
      <c r="B36" s="246" t="s">
        <v>123</v>
      </c>
      <c r="C36" s="131">
        <f>'do zał.nr 6'!C88</f>
        <v>70</v>
      </c>
      <c r="D36" s="131">
        <f>'do zał.nr 6'!D88</f>
        <v>7.93</v>
      </c>
      <c r="E36" s="123">
        <f>D36*100/C36</f>
        <v>11.32857142857143</v>
      </c>
      <c r="F36" s="801"/>
    </row>
    <row r="37" spans="1:6" s="247" customFormat="1" ht="38.25">
      <c r="A37" s="121" t="s">
        <v>973</v>
      </c>
      <c r="B37" s="57" t="s">
        <v>974</v>
      </c>
      <c r="C37" s="131">
        <f>'do zał.nr 6'!C89</f>
        <v>14000</v>
      </c>
      <c r="D37" s="131">
        <f>'do zał.nr 6'!D89</f>
        <v>19097</v>
      </c>
      <c r="E37" s="123">
        <f>D37*100/C37</f>
        <v>136.40714285714284</v>
      </c>
      <c r="F37" s="801"/>
    </row>
    <row r="38" spans="1:6" ht="13.5" thickBot="1">
      <c r="A38" s="121" t="s">
        <v>96</v>
      </c>
      <c r="B38" s="57" t="s">
        <v>960</v>
      </c>
      <c r="C38" s="127">
        <f>'do zał.nr 6'!C90</f>
        <v>300</v>
      </c>
      <c r="D38" s="127">
        <f>'do zał.nr 6'!D90</f>
        <v>0</v>
      </c>
      <c r="E38" s="123">
        <f>D38*100/C38</f>
        <v>0</v>
      </c>
      <c r="F38" s="802"/>
    </row>
    <row r="39" spans="1:6" ht="12.75">
      <c r="A39" s="206"/>
      <c r="B39" s="206"/>
      <c r="C39" s="206"/>
      <c r="D39" s="206"/>
      <c r="E39" s="206"/>
      <c r="F39" s="206"/>
    </row>
    <row r="40" spans="1:6" ht="12.75">
      <c r="A40" s="209">
        <v>80110</v>
      </c>
      <c r="B40" s="210" t="s">
        <v>724</v>
      </c>
      <c r="C40" s="211">
        <f>SUM(C41:C43)</f>
        <v>14420</v>
      </c>
      <c r="D40" s="211">
        <f>SUM(D41:D43)</f>
        <v>10630.67</v>
      </c>
      <c r="E40" s="138">
        <f>D40*100/C40</f>
        <v>73.72170596393897</v>
      </c>
      <c r="F40" s="211"/>
    </row>
    <row r="41" spans="1:6" ht="25.5">
      <c r="A41" s="121">
        <v>4210</v>
      </c>
      <c r="B41" s="57" t="s">
        <v>1201</v>
      </c>
      <c r="C41" s="131">
        <f>'do zał.nr 6'!C93</f>
        <v>12450</v>
      </c>
      <c r="D41" s="131">
        <f>'do zał.nr 6'!D93</f>
        <v>9237.98</v>
      </c>
      <c r="E41" s="123">
        <f>D41*100/C41</f>
        <v>74.20064257028112</v>
      </c>
      <c r="F41" s="800" t="s">
        <v>871</v>
      </c>
    </row>
    <row r="42" spans="1:6" ht="25.5">
      <c r="A42" s="121">
        <v>4240</v>
      </c>
      <c r="B42" s="57" t="s">
        <v>584</v>
      </c>
      <c r="C42" s="131">
        <f>'do zał.nr 6'!C94</f>
        <v>1620</v>
      </c>
      <c r="D42" s="131">
        <f>'do zał.nr 6'!D94</f>
        <v>1140.19</v>
      </c>
      <c r="E42" s="123">
        <f>D42*100/C42</f>
        <v>70.3820987654321</v>
      </c>
      <c r="F42" s="801"/>
    </row>
    <row r="43" spans="1:6" ht="13.5" thickBot="1">
      <c r="A43" s="121">
        <v>4300</v>
      </c>
      <c r="B43" s="57" t="s">
        <v>1203</v>
      </c>
      <c r="C43" s="131">
        <f>'do zał.nr 6'!C95</f>
        <v>350</v>
      </c>
      <c r="D43" s="131">
        <f>'do zał.nr 6'!D95</f>
        <v>252.5</v>
      </c>
      <c r="E43" s="123">
        <f>D43*100/C43</f>
        <v>72.14285714285714</v>
      </c>
      <c r="F43" s="810"/>
    </row>
    <row r="44" spans="1:6" ht="12.75">
      <c r="A44" s="206"/>
      <c r="B44" s="206"/>
      <c r="C44" s="206"/>
      <c r="D44" s="206"/>
      <c r="E44" s="206"/>
      <c r="F44" s="267"/>
    </row>
    <row r="45" spans="1:6" ht="12.75" customHeight="1">
      <c r="A45" s="806" t="s">
        <v>868</v>
      </c>
      <c r="B45" s="807"/>
      <c r="C45" s="252">
        <f>'do zał.nr 6'!C29+'do zał.nr 6'!C46+'do zał.nr 6'!C63+'do zał.nr 6'!C81+'do zał.nr 6'!C97</f>
        <v>76500</v>
      </c>
      <c r="D45" s="252">
        <f>'do zał.nr 6'!D29+'do zał.nr 6'!D46+'do zał.nr 6'!D63+'do zał.nr 6'!D81+'do zał.nr 6'!D97</f>
        <v>69453.77</v>
      </c>
      <c r="E45" s="253"/>
      <c r="F45" s="254"/>
    </row>
    <row r="46" spans="1:6" ht="12.75">
      <c r="A46" s="808" t="s">
        <v>977</v>
      </c>
      <c r="B46" s="809"/>
      <c r="C46" s="211">
        <f>C8+C21+C34</f>
        <v>253070</v>
      </c>
      <c r="D46" s="211">
        <f>D8+D21+D34</f>
        <v>242057.90999999997</v>
      </c>
      <c r="E46" s="211">
        <f>D46*100/C46</f>
        <v>95.64859920180186</v>
      </c>
      <c r="F46" s="254"/>
    </row>
    <row r="47" spans="1:6" ht="12.75">
      <c r="A47" s="808" t="s">
        <v>706</v>
      </c>
      <c r="B47" s="809"/>
      <c r="C47" s="211">
        <f>C15+C26+C40</f>
        <v>253070</v>
      </c>
      <c r="D47" s="211">
        <f>D15+D26+D40</f>
        <v>222814.50000000003</v>
      </c>
      <c r="E47" s="211">
        <f>D47*100/C47</f>
        <v>88.04461216264276</v>
      </c>
      <c r="F47" s="255"/>
    </row>
  </sheetData>
  <mergeCells count="17">
    <mergeCell ref="A45:B45"/>
    <mergeCell ref="A46:B46"/>
    <mergeCell ref="A47:B47"/>
    <mergeCell ref="F27:F30"/>
    <mergeCell ref="A32:F32"/>
    <mergeCell ref="F35:F38"/>
    <mergeCell ref="F41:F43"/>
    <mergeCell ref="F9:F13"/>
    <mergeCell ref="F22:F24"/>
    <mergeCell ref="F16:F19"/>
    <mergeCell ref="A3:F3"/>
    <mergeCell ref="A5:A6"/>
    <mergeCell ref="B5:B6"/>
    <mergeCell ref="C5:C6"/>
    <mergeCell ref="D5:D6"/>
    <mergeCell ref="E5:E6"/>
    <mergeCell ref="F5:F6"/>
  </mergeCells>
  <printOptions/>
  <pageMargins left="0.17" right="0.17" top="0.17" bottom="0.18" header="0.17" footer="0.2"/>
  <pageSetup fitToHeight="1" fitToWidth="1"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F102"/>
  <sheetViews>
    <sheetView zoomScale="150" zoomScaleNormal="150" workbookViewId="0" topLeftCell="A90">
      <selection activeCell="A1" sqref="A1:F99"/>
    </sheetView>
  </sheetViews>
  <sheetFormatPr defaultColWidth="9.140625" defaultRowHeight="12.75"/>
  <cols>
    <col min="1" max="1" width="8.8515625" style="0" customWidth="1"/>
    <col min="2" max="2" width="21.421875" style="0" customWidth="1"/>
    <col min="3" max="3" width="19.140625" style="0" customWidth="1"/>
    <col min="4" max="4" width="18.140625" style="0" customWidth="1"/>
    <col min="5" max="5" width="6.421875" style="0" bestFit="1" customWidth="1"/>
    <col min="6" max="6" width="27.7109375" style="256" customWidth="1"/>
  </cols>
  <sheetData>
    <row r="1" spans="1:6" ht="12.75">
      <c r="A1" s="159"/>
      <c r="B1" s="159"/>
      <c r="C1" s="125"/>
      <c r="D1" s="159"/>
      <c r="E1" s="134"/>
      <c r="F1" s="154" t="s">
        <v>978</v>
      </c>
    </row>
    <row r="2" spans="1:6" ht="13.5" thickBot="1">
      <c r="A2" s="159"/>
      <c r="B2" s="159"/>
      <c r="C2" s="159"/>
      <c r="D2" s="159"/>
      <c r="E2" s="159"/>
      <c r="F2" s="242"/>
    </row>
    <row r="3" spans="1:6" s="257" customFormat="1" ht="45" customHeight="1" thickBot="1">
      <c r="A3" s="496" t="s">
        <v>73</v>
      </c>
      <c r="B3" s="496" t="s">
        <v>74</v>
      </c>
      <c r="C3" s="152" t="s">
        <v>390</v>
      </c>
      <c r="D3" s="152" t="s">
        <v>389</v>
      </c>
      <c r="E3" s="496" t="s">
        <v>90</v>
      </c>
      <c r="F3" s="496"/>
    </row>
    <row r="4" spans="1:6" s="257" customFormat="1" ht="18" customHeight="1" thickBot="1">
      <c r="A4" s="812" t="s">
        <v>979</v>
      </c>
      <c r="B4" s="813"/>
      <c r="C4" s="813"/>
      <c r="D4" s="813"/>
      <c r="E4" s="813"/>
      <c r="F4" s="814"/>
    </row>
    <row r="5" spans="1:6" ht="12.75">
      <c r="A5" s="206"/>
      <c r="B5" s="206"/>
      <c r="C5" s="206"/>
      <c r="D5" s="206"/>
      <c r="E5" s="206"/>
      <c r="F5" s="206"/>
    </row>
    <row r="6" spans="1:6" ht="12.75" customHeight="1">
      <c r="A6" s="209">
        <v>80104</v>
      </c>
      <c r="B6" s="210" t="s">
        <v>971</v>
      </c>
      <c r="C6" s="258">
        <f>SUM(C7:C9)</f>
        <v>84000</v>
      </c>
      <c r="D6" s="258">
        <f>SUM(D7:D9)</f>
        <v>82332.09000000001</v>
      </c>
      <c r="E6" s="138">
        <f aca="true" t="shared" si="0" ref="E6:E11">D6*100/C6</f>
        <v>98.01439285714287</v>
      </c>
      <c r="F6" s="211"/>
    </row>
    <row r="7" spans="1:6" ht="12.75">
      <c r="A7" s="245" t="s">
        <v>355</v>
      </c>
      <c r="B7" s="246" t="s">
        <v>356</v>
      </c>
      <c r="C7" s="215">
        <v>78900</v>
      </c>
      <c r="D7" s="215">
        <v>76472.21</v>
      </c>
      <c r="E7" s="123">
        <f t="shared" si="0"/>
        <v>96.92295310519647</v>
      </c>
      <c r="F7" s="800" t="s">
        <v>972</v>
      </c>
    </row>
    <row r="8" spans="1:6" ht="12.75">
      <c r="A8" s="245" t="s">
        <v>122</v>
      </c>
      <c r="B8" s="246" t="s">
        <v>123</v>
      </c>
      <c r="C8" s="215">
        <v>100</v>
      </c>
      <c r="D8" s="215">
        <v>28.88</v>
      </c>
      <c r="E8" s="123">
        <f t="shared" si="0"/>
        <v>28.88</v>
      </c>
      <c r="F8" s="801"/>
    </row>
    <row r="9" spans="1:6" ht="39" thickBot="1">
      <c r="A9" s="121" t="s">
        <v>973</v>
      </c>
      <c r="B9" s="57" t="s">
        <v>974</v>
      </c>
      <c r="C9" s="127">
        <v>5000</v>
      </c>
      <c r="D9" s="123">
        <v>5831</v>
      </c>
      <c r="E9" s="123">
        <f t="shared" si="0"/>
        <v>116.62</v>
      </c>
      <c r="F9" s="801"/>
    </row>
    <row r="10" spans="1:6" ht="12.75">
      <c r="A10" s="206"/>
      <c r="B10" s="206"/>
      <c r="C10" s="206"/>
      <c r="D10" s="206"/>
      <c r="E10" s="206"/>
      <c r="F10" s="206"/>
    </row>
    <row r="11" spans="1:6" ht="12.75">
      <c r="A11" s="209">
        <v>80104</v>
      </c>
      <c r="B11" s="210" t="s">
        <v>724</v>
      </c>
      <c r="C11" s="211">
        <f>SUM(C12:C15)</f>
        <v>84000</v>
      </c>
      <c r="D11" s="211">
        <f>SUM(D12:D15)</f>
        <v>77106.73</v>
      </c>
      <c r="E11" s="138">
        <f t="shared" si="0"/>
        <v>91.79372619047619</v>
      </c>
      <c r="F11" s="211"/>
    </row>
    <row r="12" spans="1:6" ht="25.5" customHeight="1">
      <c r="A12" s="121">
        <v>4210</v>
      </c>
      <c r="B12" s="57" t="s">
        <v>1201</v>
      </c>
      <c r="C12" s="131">
        <v>4520</v>
      </c>
      <c r="D12" s="131">
        <v>0</v>
      </c>
      <c r="E12" s="123">
        <f>D12*100/C12</f>
        <v>0</v>
      </c>
      <c r="F12" s="800" t="s">
        <v>983</v>
      </c>
    </row>
    <row r="13" spans="1:6" ht="12.75">
      <c r="A13" s="121">
        <v>4220</v>
      </c>
      <c r="B13" s="57" t="s">
        <v>976</v>
      </c>
      <c r="C13" s="131">
        <v>78900</v>
      </c>
      <c r="D13" s="131">
        <v>76852.03</v>
      </c>
      <c r="E13" s="123">
        <f>D13*100/C13</f>
        <v>97.40434727503168</v>
      </c>
      <c r="F13" s="801"/>
    </row>
    <row r="14" spans="1:6" ht="26.25" customHeight="1">
      <c r="A14" s="121">
        <v>4240</v>
      </c>
      <c r="B14" s="57" t="s">
        <v>584</v>
      </c>
      <c r="C14" s="131">
        <v>200</v>
      </c>
      <c r="D14" s="131">
        <v>0</v>
      </c>
      <c r="E14" s="123">
        <f>D14*100/C14</f>
        <v>0</v>
      </c>
      <c r="F14" s="801"/>
    </row>
    <row r="15" spans="1:6" ht="13.5" thickBot="1">
      <c r="A15" s="121">
        <v>4300</v>
      </c>
      <c r="B15" s="57" t="s">
        <v>1203</v>
      </c>
      <c r="C15" s="131">
        <v>380</v>
      </c>
      <c r="D15" s="131">
        <v>254.7</v>
      </c>
      <c r="E15" s="123">
        <f>D15*100/C15</f>
        <v>67.02631578947368</v>
      </c>
      <c r="F15" s="810"/>
    </row>
    <row r="16" spans="1:6" ht="12.75" customHeight="1" hidden="1">
      <c r="A16" s="206"/>
      <c r="B16" s="206"/>
      <c r="C16" s="206"/>
      <c r="D16" s="206"/>
      <c r="E16" s="206"/>
      <c r="F16" s="206"/>
    </row>
    <row r="17" spans="1:6" ht="12.75" customHeight="1" hidden="1">
      <c r="A17" s="209"/>
      <c r="B17" s="210"/>
      <c r="C17" s="211"/>
      <c r="D17" s="211"/>
      <c r="E17" s="211"/>
      <c r="F17" s="211"/>
    </row>
    <row r="18" spans="1:6" ht="13.5" hidden="1" thickBot="1">
      <c r="A18" s="128"/>
      <c r="B18" s="129"/>
      <c r="C18" s="137"/>
      <c r="D18" s="137"/>
      <c r="E18" s="248"/>
      <c r="F18" s="800"/>
    </row>
    <row r="19" spans="1:6" ht="13.5" hidden="1" thickBot="1">
      <c r="A19" s="259"/>
      <c r="B19" s="260"/>
      <c r="C19" s="261"/>
      <c r="D19" s="261"/>
      <c r="E19" s="248"/>
      <c r="F19" s="801"/>
    </row>
    <row r="20" spans="1:6" ht="13.5" hidden="1" thickBot="1">
      <c r="A20" s="245"/>
      <c r="B20" s="246"/>
      <c r="C20" s="215"/>
      <c r="D20" s="215"/>
      <c r="E20" s="248"/>
      <c r="F20" s="801"/>
    </row>
    <row r="21" spans="1:6" ht="13.5" hidden="1" thickBot="1">
      <c r="A21" s="135"/>
      <c r="B21" s="57"/>
      <c r="C21" s="215"/>
      <c r="D21" s="215"/>
      <c r="E21" s="248"/>
      <c r="F21" s="810"/>
    </row>
    <row r="22" spans="1:6" ht="25.5" customHeight="1" hidden="1">
      <c r="A22" s="249"/>
      <c r="B22" s="249"/>
      <c r="C22" s="249"/>
      <c r="D22" s="249"/>
      <c r="E22" s="249"/>
      <c r="F22" s="249"/>
    </row>
    <row r="23" spans="1:6" ht="25.5" customHeight="1" hidden="1">
      <c r="A23" s="209"/>
      <c r="B23" s="210"/>
      <c r="C23" s="211"/>
      <c r="D23" s="211"/>
      <c r="E23" s="211"/>
      <c r="F23" s="211"/>
    </row>
    <row r="24" spans="1:6" ht="13.5" hidden="1" thickBot="1">
      <c r="A24" s="121"/>
      <c r="B24" s="57"/>
      <c r="C24" s="131"/>
      <c r="D24" s="131"/>
      <c r="E24" s="123"/>
      <c r="F24" s="815"/>
    </row>
    <row r="25" spans="1:6" ht="13.5" hidden="1" thickBot="1">
      <c r="A25" s="121"/>
      <c r="B25" s="57"/>
      <c r="C25" s="131"/>
      <c r="D25" s="131"/>
      <c r="E25" s="123"/>
      <c r="F25" s="815"/>
    </row>
    <row r="26" spans="1:6" ht="12.75" customHeight="1" hidden="1">
      <c r="A26" s="218"/>
      <c r="B26" s="197"/>
      <c r="C26" s="262"/>
      <c r="D26" s="262"/>
      <c r="E26" s="123"/>
      <c r="F26" s="815"/>
    </row>
    <row r="27" spans="1:6" ht="12.75" customHeight="1" hidden="1">
      <c r="A27" s="263"/>
      <c r="B27" s="264"/>
      <c r="C27" s="265"/>
      <c r="D27" s="265"/>
      <c r="E27" s="123"/>
      <c r="F27" s="266"/>
    </row>
    <row r="28" spans="1:6" ht="12.75" customHeight="1">
      <c r="A28" s="206"/>
      <c r="B28" s="206"/>
      <c r="C28" s="206"/>
      <c r="D28" s="206"/>
      <c r="E28" s="206"/>
      <c r="F28" s="267"/>
    </row>
    <row r="29" spans="1:6" ht="12.75" customHeight="1">
      <c r="A29" s="806" t="s">
        <v>868</v>
      </c>
      <c r="B29" s="807"/>
      <c r="C29" s="252">
        <v>20000</v>
      </c>
      <c r="D29" s="252">
        <v>16523.54</v>
      </c>
      <c r="E29" s="253"/>
      <c r="F29" s="268"/>
    </row>
    <row r="30" spans="1:6" ht="12.75" customHeight="1">
      <c r="A30" s="808" t="s">
        <v>977</v>
      </c>
      <c r="B30" s="809"/>
      <c r="C30" s="211">
        <f>C6</f>
        <v>84000</v>
      </c>
      <c r="D30" s="211">
        <f>D6</f>
        <v>82332.09000000001</v>
      </c>
      <c r="E30" s="211">
        <f>D30*100/C30</f>
        <v>98.01439285714287</v>
      </c>
      <c r="F30" s="268"/>
    </row>
    <row r="31" spans="1:6" ht="12.75">
      <c r="A31" s="808" t="s">
        <v>706</v>
      </c>
      <c r="B31" s="809"/>
      <c r="C31" s="211">
        <f>C11+C23</f>
        <v>84000</v>
      </c>
      <c r="D31" s="211">
        <f>D11+D23</f>
        <v>77106.73</v>
      </c>
      <c r="E31" s="211">
        <f>D31*100/C31</f>
        <v>91.79372619047619</v>
      </c>
      <c r="F31" s="269"/>
    </row>
    <row r="32" spans="1:6" ht="16.5" thickBot="1">
      <c r="A32" s="158"/>
      <c r="B32" s="270"/>
      <c r="C32" s="159"/>
      <c r="D32" s="159"/>
      <c r="E32" s="159"/>
      <c r="F32" s="159"/>
    </row>
    <row r="33" spans="1:6" s="271" customFormat="1" ht="16.5" thickBot="1">
      <c r="A33" s="816" t="s">
        <v>980</v>
      </c>
      <c r="B33" s="817"/>
      <c r="C33" s="817"/>
      <c r="D33" s="817"/>
      <c r="E33" s="817"/>
      <c r="F33" s="818"/>
    </row>
    <row r="34" spans="1:6" ht="12.75">
      <c r="A34" s="206"/>
      <c r="B34" s="206"/>
      <c r="C34" s="206"/>
      <c r="D34" s="206"/>
      <c r="E34" s="206"/>
      <c r="F34" s="206"/>
    </row>
    <row r="35" spans="1:6" ht="12.75">
      <c r="A35" s="209">
        <v>80101</v>
      </c>
      <c r="B35" s="210" t="s">
        <v>971</v>
      </c>
      <c r="C35" s="211">
        <f>SUM(C36:C38)</f>
        <v>42000</v>
      </c>
      <c r="D35" s="211">
        <f>SUM(D36:D38)</f>
        <v>30317.190000000002</v>
      </c>
      <c r="E35" s="272">
        <f aca="true" t="shared" si="1" ref="E35:E40">D35*100/C35</f>
        <v>72.18378571428572</v>
      </c>
      <c r="F35" s="211"/>
    </row>
    <row r="36" spans="1:6" s="247" customFormat="1" ht="16.5" customHeight="1">
      <c r="A36" s="135" t="s">
        <v>355</v>
      </c>
      <c r="B36" s="136" t="s">
        <v>356</v>
      </c>
      <c r="C36" s="131">
        <v>37900</v>
      </c>
      <c r="D36" s="131">
        <v>29838.15</v>
      </c>
      <c r="E36" s="123">
        <f t="shared" si="1"/>
        <v>78.72862796833773</v>
      </c>
      <c r="F36" s="800" t="s">
        <v>972</v>
      </c>
    </row>
    <row r="37" spans="1:6" ht="12.75">
      <c r="A37" s="245" t="s">
        <v>122</v>
      </c>
      <c r="B37" s="246" t="s">
        <v>123</v>
      </c>
      <c r="C37" s="215">
        <v>100</v>
      </c>
      <c r="D37" s="215">
        <v>29.04</v>
      </c>
      <c r="E37" s="123">
        <f t="shared" si="1"/>
        <v>29.04</v>
      </c>
      <c r="F37" s="801"/>
    </row>
    <row r="38" spans="1:6" ht="43.5" customHeight="1" thickBot="1">
      <c r="A38" s="121" t="s">
        <v>973</v>
      </c>
      <c r="B38" s="57" t="s">
        <v>974</v>
      </c>
      <c r="C38" s="127">
        <v>4000</v>
      </c>
      <c r="D38" s="123">
        <v>450</v>
      </c>
      <c r="E38" s="123">
        <f t="shared" si="1"/>
        <v>11.25</v>
      </c>
      <c r="F38" s="801"/>
    </row>
    <row r="39" spans="1:6" ht="12.75">
      <c r="A39" s="206"/>
      <c r="B39" s="206"/>
      <c r="C39" s="206"/>
      <c r="D39" s="206"/>
      <c r="E39" s="206"/>
      <c r="F39" s="206"/>
    </row>
    <row r="40" spans="1:6" ht="12.75">
      <c r="A40" s="209">
        <v>80101</v>
      </c>
      <c r="B40" s="210" t="s">
        <v>724</v>
      </c>
      <c r="C40" s="211">
        <f>SUM(C41:C44)</f>
        <v>42000</v>
      </c>
      <c r="D40" s="211">
        <f>SUM(D41:D44)</f>
        <v>28892</v>
      </c>
      <c r="E40" s="138">
        <f t="shared" si="1"/>
        <v>68.79047619047618</v>
      </c>
      <c r="F40" s="211"/>
    </row>
    <row r="41" spans="1:6" ht="25.5">
      <c r="A41" s="121">
        <v>4210</v>
      </c>
      <c r="B41" s="57" t="s">
        <v>1201</v>
      </c>
      <c r="C41" s="131">
        <v>3400</v>
      </c>
      <c r="D41" s="131">
        <v>0</v>
      </c>
      <c r="E41" s="123">
        <f>D41*100/C41</f>
        <v>0</v>
      </c>
      <c r="F41" s="800" t="s">
        <v>984</v>
      </c>
    </row>
    <row r="42" spans="1:6" ht="12.75">
      <c r="A42" s="121">
        <v>4220</v>
      </c>
      <c r="B42" s="57" t="s">
        <v>976</v>
      </c>
      <c r="C42" s="131">
        <v>37900</v>
      </c>
      <c r="D42" s="131">
        <v>28529.3</v>
      </c>
      <c r="E42" s="123">
        <f>D42*100/C42</f>
        <v>75.27519788918205</v>
      </c>
      <c r="F42" s="801"/>
    </row>
    <row r="43" spans="1:6" ht="25.5">
      <c r="A43" s="121">
        <v>4240</v>
      </c>
      <c r="B43" s="57" t="s">
        <v>584</v>
      </c>
      <c r="C43" s="131">
        <v>200</v>
      </c>
      <c r="D43" s="131">
        <v>0</v>
      </c>
      <c r="E43" s="123"/>
      <c r="F43" s="801"/>
    </row>
    <row r="44" spans="1:6" ht="13.5" thickBot="1">
      <c r="A44" s="121">
        <v>4300</v>
      </c>
      <c r="B44" s="57" t="s">
        <v>1203</v>
      </c>
      <c r="C44" s="131">
        <v>500</v>
      </c>
      <c r="D44" s="131">
        <v>362.7</v>
      </c>
      <c r="E44" s="123">
        <f>D44*100/C44</f>
        <v>72.54</v>
      </c>
      <c r="F44" s="810"/>
    </row>
    <row r="45" spans="1:6" ht="12.75">
      <c r="A45" s="206"/>
      <c r="B45" s="206"/>
      <c r="C45" s="206"/>
      <c r="D45" s="206"/>
      <c r="E45" s="206"/>
      <c r="F45" s="267"/>
    </row>
    <row r="46" spans="1:6" ht="12.75" customHeight="1">
      <c r="A46" s="806" t="s">
        <v>868</v>
      </c>
      <c r="B46" s="807"/>
      <c r="C46" s="252">
        <v>20000</v>
      </c>
      <c r="D46" s="252">
        <v>16164.47</v>
      </c>
      <c r="E46" s="253"/>
      <c r="F46" s="268"/>
    </row>
    <row r="47" spans="1:6" ht="12.75" customHeight="1">
      <c r="A47" s="808" t="s">
        <v>977</v>
      </c>
      <c r="B47" s="809"/>
      <c r="C47" s="211">
        <f>C35</f>
        <v>42000</v>
      </c>
      <c r="D47" s="211">
        <f>D35</f>
        <v>30317.190000000002</v>
      </c>
      <c r="E47" s="211">
        <f>D47*100/C47</f>
        <v>72.18378571428572</v>
      </c>
      <c r="F47" s="268"/>
    </row>
    <row r="48" spans="1:6" ht="12.75">
      <c r="A48" s="808" t="s">
        <v>706</v>
      </c>
      <c r="B48" s="809"/>
      <c r="C48" s="211">
        <f>C40</f>
        <v>42000</v>
      </c>
      <c r="D48" s="211">
        <f>D40</f>
        <v>28892</v>
      </c>
      <c r="E48" s="211">
        <f>D48*100/C48</f>
        <v>68.79047619047618</v>
      </c>
      <c r="F48" s="269"/>
    </row>
    <row r="49" spans="1:6" ht="15.75" customHeight="1" thickBot="1">
      <c r="A49" s="811" t="s">
        <v>981</v>
      </c>
      <c r="B49" s="811"/>
      <c r="C49" s="811"/>
      <c r="D49" s="811"/>
      <c r="E49" s="811"/>
      <c r="F49" s="811"/>
    </row>
    <row r="50" spans="1:6" ht="12.75">
      <c r="A50" s="206"/>
      <c r="B50" s="206"/>
      <c r="C50" s="206"/>
      <c r="D50" s="206"/>
      <c r="E50" s="206"/>
      <c r="F50" s="206"/>
    </row>
    <row r="51" spans="1:6" ht="12.75">
      <c r="A51" s="209">
        <v>80101</v>
      </c>
      <c r="B51" s="210" t="s">
        <v>971</v>
      </c>
      <c r="C51" s="273">
        <f>SUM(C52:C54)</f>
        <v>17250</v>
      </c>
      <c r="D51" s="273">
        <f>SUM(D52:D54)</f>
        <v>13395.74</v>
      </c>
      <c r="E51" s="138">
        <f>D51*100/C51</f>
        <v>77.65646376811594</v>
      </c>
      <c r="F51" s="211"/>
    </row>
    <row r="52" spans="1:6" s="247" customFormat="1" ht="21" customHeight="1">
      <c r="A52" s="135" t="s">
        <v>355</v>
      </c>
      <c r="B52" s="136" t="s">
        <v>356</v>
      </c>
      <c r="C52" s="131">
        <v>15200</v>
      </c>
      <c r="D52" s="131">
        <v>12465.64</v>
      </c>
      <c r="E52" s="123">
        <f>D52*100/C52</f>
        <v>82.01078947368421</v>
      </c>
      <c r="F52" s="800" t="s">
        <v>972</v>
      </c>
    </row>
    <row r="53" spans="1:6" ht="18" customHeight="1">
      <c r="A53" s="245" t="s">
        <v>122</v>
      </c>
      <c r="B53" s="246" t="s">
        <v>123</v>
      </c>
      <c r="C53" s="215">
        <v>50</v>
      </c>
      <c r="D53" s="215">
        <v>5.1</v>
      </c>
      <c r="E53" s="123">
        <f>D53*100/C53</f>
        <v>10.2</v>
      </c>
      <c r="F53" s="801"/>
    </row>
    <row r="54" spans="1:6" ht="42" customHeight="1" thickBot="1">
      <c r="A54" s="121" t="s">
        <v>973</v>
      </c>
      <c r="B54" s="57" t="s">
        <v>974</v>
      </c>
      <c r="C54" s="127">
        <v>2000</v>
      </c>
      <c r="D54" s="123">
        <v>925</v>
      </c>
      <c r="E54" s="123">
        <f>D54*100/C54</f>
        <v>46.25</v>
      </c>
      <c r="F54" s="802"/>
    </row>
    <row r="55" spans="1:6" ht="12.75">
      <c r="A55" s="206"/>
      <c r="B55" s="206"/>
      <c r="C55" s="206"/>
      <c r="D55" s="206"/>
      <c r="E55" s="206"/>
      <c r="F55" s="206"/>
    </row>
    <row r="56" spans="1:6" ht="12.75">
      <c r="A56" s="209">
        <v>80101</v>
      </c>
      <c r="B56" s="210" t="s">
        <v>724</v>
      </c>
      <c r="C56" s="211">
        <f>SUM(C57:C60)</f>
        <v>17250</v>
      </c>
      <c r="D56" s="211">
        <f>SUM(D57:D60)</f>
        <v>12940.460000000001</v>
      </c>
      <c r="E56" s="211"/>
      <c r="F56" s="211"/>
    </row>
    <row r="57" spans="1:6" ht="25.5">
      <c r="A57" s="121">
        <v>4210</v>
      </c>
      <c r="B57" s="57" t="s">
        <v>1201</v>
      </c>
      <c r="C57" s="131">
        <v>1500</v>
      </c>
      <c r="D57" s="131">
        <v>1202</v>
      </c>
      <c r="E57" s="123">
        <f>D57*100/C57</f>
        <v>80.13333333333334</v>
      </c>
      <c r="F57" s="800" t="s">
        <v>985</v>
      </c>
    </row>
    <row r="58" spans="1:6" ht="12.75">
      <c r="A58" s="121">
        <v>4220</v>
      </c>
      <c r="B58" s="57" t="s">
        <v>976</v>
      </c>
      <c r="C58" s="131">
        <v>15200</v>
      </c>
      <c r="D58" s="131">
        <v>11545.86</v>
      </c>
      <c r="E58" s="123">
        <f>D58*100/C58</f>
        <v>75.9596052631579</v>
      </c>
      <c r="F58" s="801"/>
    </row>
    <row r="59" spans="1:6" ht="25.5">
      <c r="A59" s="121">
        <v>4240</v>
      </c>
      <c r="B59" s="57" t="s">
        <v>584</v>
      </c>
      <c r="C59" s="131">
        <v>200</v>
      </c>
      <c r="D59" s="131">
        <v>0</v>
      </c>
      <c r="E59" s="123">
        <f>D59*100/C59</f>
        <v>0</v>
      </c>
      <c r="F59" s="801"/>
    </row>
    <row r="60" spans="1:6" ht="12.75">
      <c r="A60" s="121">
        <v>4300</v>
      </c>
      <c r="B60" s="57" t="s">
        <v>1203</v>
      </c>
      <c r="C60" s="131">
        <v>350</v>
      </c>
      <c r="D60" s="131">
        <v>192.6</v>
      </c>
      <c r="E60" s="123">
        <f>D60*100/C60</f>
        <v>55.02857142857143</v>
      </c>
      <c r="F60" s="810"/>
    </row>
    <row r="61" spans="1:6" ht="13.5" thickBot="1">
      <c r="A61" s="121"/>
      <c r="B61" s="57"/>
      <c r="C61" s="131"/>
      <c r="D61" s="131"/>
      <c r="E61" s="123"/>
      <c r="F61" s="266"/>
    </row>
    <row r="62" spans="1:6" ht="12.75">
      <c r="A62" s="206"/>
      <c r="B62" s="206"/>
      <c r="C62" s="206"/>
      <c r="D62" s="206"/>
      <c r="E62" s="206"/>
      <c r="F62" s="267"/>
    </row>
    <row r="63" spans="1:6" ht="12.75" customHeight="1">
      <c r="A63" s="806" t="s">
        <v>868</v>
      </c>
      <c r="B63" s="807"/>
      <c r="C63" s="252">
        <v>3000</v>
      </c>
      <c r="D63" s="252">
        <v>2377.14</v>
      </c>
      <c r="E63" s="253"/>
      <c r="F63" s="268"/>
    </row>
    <row r="64" spans="1:6" ht="12.75" customHeight="1">
      <c r="A64" s="808" t="s">
        <v>977</v>
      </c>
      <c r="B64" s="809"/>
      <c r="C64" s="211">
        <f>C51</f>
        <v>17250</v>
      </c>
      <c r="D64" s="211">
        <f>D51</f>
        <v>13395.74</v>
      </c>
      <c r="E64" s="211">
        <f>D64*100/C64</f>
        <v>77.65646376811594</v>
      </c>
      <c r="F64" s="268"/>
    </row>
    <row r="65" spans="1:6" ht="12.75">
      <c r="A65" s="808" t="s">
        <v>706</v>
      </c>
      <c r="B65" s="809"/>
      <c r="C65" s="211">
        <f>C56</f>
        <v>17250</v>
      </c>
      <c r="D65" s="211">
        <f>D56</f>
        <v>12940.460000000001</v>
      </c>
      <c r="E65" s="211">
        <f>D65*100/C65</f>
        <v>75.01715942028986</v>
      </c>
      <c r="F65" s="269"/>
    </row>
    <row r="66" spans="1:6" ht="15.75" customHeight="1" thickBot="1">
      <c r="A66" s="811" t="s">
        <v>982</v>
      </c>
      <c r="B66" s="811"/>
      <c r="C66" s="811"/>
      <c r="D66" s="811"/>
      <c r="E66" s="811"/>
      <c r="F66" s="811"/>
    </row>
    <row r="67" spans="1:6" ht="12.75">
      <c r="A67" s="206"/>
      <c r="B67" s="206"/>
      <c r="C67" s="206"/>
      <c r="D67" s="206"/>
      <c r="E67" s="206"/>
      <c r="F67" s="206"/>
    </row>
    <row r="68" spans="1:6" ht="12.75">
      <c r="A68" s="209">
        <v>80101</v>
      </c>
      <c r="B68" s="210" t="s">
        <v>971</v>
      </c>
      <c r="C68" s="273">
        <f>SUM(C69:C73)</f>
        <v>95400</v>
      </c>
      <c r="D68" s="273">
        <f>SUM(D69:D73)</f>
        <v>96907.95999999999</v>
      </c>
      <c r="E68" s="138">
        <f aca="true" t="shared" si="2" ref="E68:E75">D68*100/C68</f>
        <v>101.58067085953878</v>
      </c>
      <c r="F68" s="211"/>
    </row>
    <row r="69" spans="1:6" ht="12.75">
      <c r="A69" s="245" t="s">
        <v>959</v>
      </c>
      <c r="B69" s="246" t="s">
        <v>960</v>
      </c>
      <c r="C69" s="215">
        <v>50</v>
      </c>
      <c r="D69" s="215">
        <v>30</v>
      </c>
      <c r="E69" s="123">
        <f t="shared" si="2"/>
        <v>60</v>
      </c>
      <c r="F69" s="801" t="s">
        <v>972</v>
      </c>
    </row>
    <row r="70" spans="1:6" ht="12.75">
      <c r="A70" s="245" t="s">
        <v>355</v>
      </c>
      <c r="B70" s="246" t="s">
        <v>356</v>
      </c>
      <c r="C70" s="215">
        <v>68000</v>
      </c>
      <c r="D70" s="215">
        <v>77933.7</v>
      </c>
      <c r="E70" s="123">
        <f t="shared" si="2"/>
        <v>114.60838235294118</v>
      </c>
      <c r="F70" s="801"/>
    </row>
    <row r="71" spans="1:6" ht="12.75">
      <c r="A71" s="245" t="s">
        <v>122</v>
      </c>
      <c r="B71" s="246" t="s">
        <v>123</v>
      </c>
      <c r="C71" s="131">
        <v>100</v>
      </c>
      <c r="D71" s="131">
        <v>33.23</v>
      </c>
      <c r="E71" s="123">
        <f t="shared" si="2"/>
        <v>33.23</v>
      </c>
      <c r="F71" s="801"/>
    </row>
    <row r="72" spans="1:6" s="247" customFormat="1" ht="38.25">
      <c r="A72" s="121" t="s">
        <v>973</v>
      </c>
      <c r="B72" s="57" t="s">
        <v>974</v>
      </c>
      <c r="C72" s="131">
        <v>26000</v>
      </c>
      <c r="D72" s="131">
        <v>17131.03</v>
      </c>
      <c r="E72" s="123">
        <f t="shared" si="2"/>
        <v>65.88857692307693</v>
      </c>
      <c r="F72" s="801"/>
    </row>
    <row r="73" spans="1:6" ht="13.5" thickBot="1">
      <c r="A73" s="121" t="s">
        <v>96</v>
      </c>
      <c r="B73" s="57" t="s">
        <v>960</v>
      </c>
      <c r="C73" s="127">
        <v>1250</v>
      </c>
      <c r="D73" s="123">
        <v>1780</v>
      </c>
      <c r="E73" s="123">
        <f t="shared" si="2"/>
        <v>142.4</v>
      </c>
      <c r="F73" s="802"/>
    </row>
    <row r="74" spans="1:6" ht="12.75">
      <c r="A74" s="206"/>
      <c r="B74" s="206"/>
      <c r="C74" s="206"/>
      <c r="D74" s="206"/>
      <c r="E74" s="206"/>
      <c r="F74" s="206"/>
    </row>
    <row r="75" spans="1:6" ht="12.75">
      <c r="A75" s="209">
        <v>80101</v>
      </c>
      <c r="B75" s="210" t="s">
        <v>724</v>
      </c>
      <c r="C75" s="211">
        <f>SUM(C76:C79)</f>
        <v>95400</v>
      </c>
      <c r="D75" s="211">
        <f>SUM(D76:D79)</f>
        <v>93244.64</v>
      </c>
      <c r="E75" s="138">
        <f t="shared" si="2"/>
        <v>97.74071278825996</v>
      </c>
      <c r="F75" s="211"/>
    </row>
    <row r="76" spans="1:6" ht="25.5">
      <c r="A76" s="121">
        <v>4210</v>
      </c>
      <c r="B76" s="57" t="s">
        <v>1201</v>
      </c>
      <c r="C76" s="131">
        <v>24300</v>
      </c>
      <c r="D76" s="131">
        <v>24213.07</v>
      </c>
      <c r="E76" s="123">
        <f>D76*100/C76</f>
        <v>99.6422633744856</v>
      </c>
      <c r="F76" s="800" t="s">
        <v>986</v>
      </c>
    </row>
    <row r="77" spans="1:6" ht="12.75">
      <c r="A77" s="121">
        <v>4220</v>
      </c>
      <c r="B77" s="57" t="s">
        <v>976</v>
      </c>
      <c r="C77" s="131">
        <v>68000</v>
      </c>
      <c r="D77" s="131">
        <v>66103.12</v>
      </c>
      <c r="E77" s="123">
        <f>D77*100/C77</f>
        <v>97.2104705882353</v>
      </c>
      <c r="F77" s="801"/>
    </row>
    <row r="78" spans="1:6" ht="25.5">
      <c r="A78" s="121">
        <v>4240</v>
      </c>
      <c r="B78" s="57" t="s">
        <v>584</v>
      </c>
      <c r="C78" s="131">
        <v>700</v>
      </c>
      <c r="D78" s="131">
        <v>570.39</v>
      </c>
      <c r="E78" s="123">
        <f>D78*100/C78</f>
        <v>81.48428571428572</v>
      </c>
      <c r="F78" s="801"/>
    </row>
    <row r="79" spans="1:6" ht="13.5" thickBot="1">
      <c r="A79" s="121">
        <v>4300</v>
      </c>
      <c r="B79" s="57" t="s">
        <v>1203</v>
      </c>
      <c r="C79" s="131">
        <v>2400</v>
      </c>
      <c r="D79" s="131">
        <v>2358.06</v>
      </c>
      <c r="E79" s="123">
        <f>D79*100/C79</f>
        <v>98.2525</v>
      </c>
      <c r="F79" s="810"/>
    </row>
    <row r="80" spans="1:6" ht="12.75">
      <c r="A80" s="206"/>
      <c r="B80" s="206"/>
      <c r="C80" s="206"/>
      <c r="D80" s="206"/>
      <c r="E80" s="206"/>
      <c r="F80" s="267"/>
    </row>
    <row r="81" spans="1:6" ht="12.75" customHeight="1">
      <c r="A81" s="806" t="s">
        <v>868</v>
      </c>
      <c r="B81" s="807"/>
      <c r="C81" s="252">
        <v>25000</v>
      </c>
      <c r="D81" s="252">
        <v>25914.36</v>
      </c>
      <c r="E81" s="253"/>
      <c r="F81" s="268"/>
    </row>
    <row r="82" spans="1:6" ht="12.75">
      <c r="A82" s="808" t="s">
        <v>977</v>
      </c>
      <c r="B82" s="809"/>
      <c r="C82" s="211">
        <f>C68</f>
        <v>95400</v>
      </c>
      <c r="D82" s="211">
        <f>D68</f>
        <v>96907.95999999999</v>
      </c>
      <c r="E82" s="211">
        <f>D82*100/C82</f>
        <v>101.58067085953878</v>
      </c>
      <c r="F82" s="268"/>
    </row>
    <row r="83" spans="1:6" ht="12.75">
      <c r="A83" s="808" t="s">
        <v>706</v>
      </c>
      <c r="B83" s="809"/>
      <c r="C83" s="211">
        <f>C75</f>
        <v>95400</v>
      </c>
      <c r="D83" s="211">
        <f>D75</f>
        <v>93244.64</v>
      </c>
      <c r="E83" s="211">
        <f>D83*100/C83</f>
        <v>97.74071278825996</v>
      </c>
      <c r="F83" s="269"/>
    </row>
    <row r="84" spans="1:6" ht="15.75" customHeight="1" thickBot="1">
      <c r="A84" s="811" t="s">
        <v>869</v>
      </c>
      <c r="B84" s="811"/>
      <c r="C84" s="811"/>
      <c r="D84" s="811"/>
      <c r="E84" s="811"/>
      <c r="F84" s="811"/>
    </row>
    <row r="85" spans="1:6" ht="12.75">
      <c r="A85" s="206"/>
      <c r="B85" s="206"/>
      <c r="C85" s="206"/>
      <c r="D85" s="206"/>
      <c r="E85" s="206"/>
      <c r="F85" s="206"/>
    </row>
    <row r="86" spans="1:6" ht="12.75">
      <c r="A86" s="209">
        <v>80110</v>
      </c>
      <c r="B86" s="210" t="s">
        <v>971</v>
      </c>
      <c r="C86" s="273">
        <f>SUM(C87:C90)</f>
        <v>14420</v>
      </c>
      <c r="D86" s="273">
        <f>SUM(D87:D90)</f>
        <v>19104.93</v>
      </c>
      <c r="E86" s="138">
        <f>D86*100/C86</f>
        <v>132.48911234396672</v>
      </c>
      <c r="F86" s="211"/>
    </row>
    <row r="87" spans="1:6" ht="12.75">
      <c r="A87" s="245" t="s">
        <v>959</v>
      </c>
      <c r="B87" s="246" t="s">
        <v>960</v>
      </c>
      <c r="C87" s="215">
        <v>50</v>
      </c>
      <c r="D87" s="215">
        <v>0</v>
      </c>
      <c r="E87" s="123">
        <f>D87*100/C87</f>
        <v>0</v>
      </c>
      <c r="F87" s="801" t="s">
        <v>870</v>
      </c>
    </row>
    <row r="88" spans="1:6" ht="12.75">
      <c r="A88" s="245" t="s">
        <v>122</v>
      </c>
      <c r="B88" s="246" t="s">
        <v>123</v>
      </c>
      <c r="C88" s="131">
        <v>70</v>
      </c>
      <c r="D88" s="131">
        <v>7.93</v>
      </c>
      <c r="E88" s="123">
        <f>D88*100/C88</f>
        <v>11.32857142857143</v>
      </c>
      <c r="F88" s="801"/>
    </row>
    <row r="89" spans="1:6" s="247" customFormat="1" ht="38.25">
      <c r="A89" s="121" t="s">
        <v>973</v>
      </c>
      <c r="B89" s="57" t="s">
        <v>974</v>
      </c>
      <c r="C89" s="131">
        <v>14000</v>
      </c>
      <c r="D89" s="131">
        <v>19097</v>
      </c>
      <c r="E89" s="123">
        <f>D89*100/C89</f>
        <v>136.40714285714284</v>
      </c>
      <c r="F89" s="801"/>
    </row>
    <row r="90" spans="1:6" ht="13.5" thickBot="1">
      <c r="A90" s="121" t="s">
        <v>96</v>
      </c>
      <c r="B90" s="57" t="s">
        <v>960</v>
      </c>
      <c r="C90" s="127">
        <v>300</v>
      </c>
      <c r="D90" s="123">
        <v>0</v>
      </c>
      <c r="E90" s="123">
        <f>D90*100/C90</f>
        <v>0</v>
      </c>
      <c r="F90" s="802"/>
    </row>
    <row r="91" spans="1:6" ht="12.75">
      <c r="A91" s="206"/>
      <c r="B91" s="206"/>
      <c r="C91" s="206"/>
      <c r="D91" s="206"/>
      <c r="E91" s="206"/>
      <c r="F91" s="206"/>
    </row>
    <row r="92" spans="1:6" ht="12.75">
      <c r="A92" s="209">
        <v>80110</v>
      </c>
      <c r="B92" s="210" t="s">
        <v>724</v>
      </c>
      <c r="C92" s="211">
        <f>SUM(C93:C95)</f>
        <v>14420</v>
      </c>
      <c r="D92" s="211">
        <f>SUM(D93:D95)</f>
        <v>10630.67</v>
      </c>
      <c r="E92" s="138">
        <f>D92*100/C92</f>
        <v>73.72170596393897</v>
      </c>
      <c r="F92" s="211"/>
    </row>
    <row r="93" spans="1:6" ht="25.5">
      <c r="A93" s="121">
        <v>4210</v>
      </c>
      <c r="B93" s="57" t="s">
        <v>1201</v>
      </c>
      <c r="C93" s="131">
        <v>12450</v>
      </c>
      <c r="D93" s="131">
        <v>9237.98</v>
      </c>
      <c r="E93" s="123">
        <f>D93*100/C93</f>
        <v>74.20064257028112</v>
      </c>
      <c r="F93" s="800" t="s">
        <v>871</v>
      </c>
    </row>
    <row r="94" spans="1:6" ht="25.5">
      <c r="A94" s="121">
        <v>4240</v>
      </c>
      <c r="B94" s="57" t="s">
        <v>584</v>
      </c>
      <c r="C94" s="131">
        <v>1620</v>
      </c>
      <c r="D94" s="131">
        <v>1140.19</v>
      </c>
      <c r="E94" s="123">
        <f>D94*100/C94</f>
        <v>70.3820987654321</v>
      </c>
      <c r="F94" s="801"/>
    </row>
    <row r="95" spans="1:6" ht="13.5" thickBot="1">
      <c r="A95" s="121">
        <v>4300</v>
      </c>
      <c r="B95" s="57" t="s">
        <v>1203</v>
      </c>
      <c r="C95" s="131">
        <v>350</v>
      </c>
      <c r="D95" s="131">
        <v>252.5</v>
      </c>
      <c r="E95" s="123">
        <f>D95*100/C95</f>
        <v>72.14285714285714</v>
      </c>
      <c r="F95" s="810"/>
    </row>
    <row r="96" spans="1:6" ht="12.75">
      <c r="A96" s="206"/>
      <c r="B96" s="206"/>
      <c r="C96" s="206"/>
      <c r="D96" s="206"/>
      <c r="E96" s="206"/>
      <c r="F96" s="267"/>
    </row>
    <row r="97" spans="1:6" ht="12.75" customHeight="1">
      <c r="A97" s="806" t="s">
        <v>868</v>
      </c>
      <c r="B97" s="807"/>
      <c r="C97" s="252">
        <v>8500</v>
      </c>
      <c r="D97" s="252">
        <v>8474.26</v>
      </c>
      <c r="E97" s="253"/>
      <c r="F97" s="268"/>
    </row>
    <row r="98" spans="1:6" ht="12.75">
      <c r="A98" s="808" t="s">
        <v>977</v>
      </c>
      <c r="B98" s="809"/>
      <c r="C98" s="211">
        <f>C86</f>
        <v>14420</v>
      </c>
      <c r="D98" s="211">
        <f>D86</f>
        <v>19104.93</v>
      </c>
      <c r="E98" s="211">
        <f>D98*100/C98</f>
        <v>132.48911234396672</v>
      </c>
      <c r="F98" s="268"/>
    </row>
    <row r="99" spans="1:6" ht="12.75">
      <c r="A99" s="808" t="s">
        <v>706</v>
      </c>
      <c r="B99" s="809"/>
      <c r="C99" s="211">
        <f>C92</f>
        <v>14420</v>
      </c>
      <c r="D99" s="211">
        <f>D92</f>
        <v>10630.67</v>
      </c>
      <c r="E99" s="211">
        <f>D99*100/C99</f>
        <v>73.72170596393897</v>
      </c>
      <c r="F99" s="269"/>
    </row>
    <row r="101" ht="12.75">
      <c r="C101" s="274"/>
    </row>
    <row r="102" ht="12.75">
      <c r="D102" s="274"/>
    </row>
  </sheetData>
  <mergeCells count="32">
    <mergeCell ref="A65:B65"/>
    <mergeCell ref="A98:B98"/>
    <mergeCell ref="A99:B99"/>
    <mergeCell ref="A66:F66"/>
    <mergeCell ref="F69:F73"/>
    <mergeCell ref="F76:F79"/>
    <mergeCell ref="A97:B97"/>
    <mergeCell ref="A84:F84"/>
    <mergeCell ref="F87:F90"/>
    <mergeCell ref="F93:F95"/>
    <mergeCell ref="F52:F54"/>
    <mergeCell ref="F57:F60"/>
    <mergeCell ref="A63:B63"/>
    <mergeCell ref="A64:B64"/>
    <mergeCell ref="A46:B46"/>
    <mergeCell ref="A47:B47"/>
    <mergeCell ref="A48:B48"/>
    <mergeCell ref="A49:F49"/>
    <mergeCell ref="A29:B29"/>
    <mergeCell ref="A33:F33"/>
    <mergeCell ref="F36:F38"/>
    <mergeCell ref="F41:F44"/>
    <mergeCell ref="A81:B81"/>
    <mergeCell ref="A82:B82"/>
    <mergeCell ref="A83:B83"/>
    <mergeCell ref="A4:F4"/>
    <mergeCell ref="F7:F9"/>
    <mergeCell ref="A30:B30"/>
    <mergeCell ref="A31:B31"/>
    <mergeCell ref="F12:F15"/>
    <mergeCell ref="F18:F21"/>
    <mergeCell ref="F24:F26"/>
  </mergeCells>
  <printOptions horizontalCentered="1"/>
  <pageMargins left="0.15748031496062992" right="0.15748031496062992" top="0.5" bottom="0.17" header="0.15748031496062992" footer="0.1574803149606299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9"/>
  </sheetPr>
  <dimension ref="A1:H30"/>
  <sheetViews>
    <sheetView zoomScale="150" zoomScaleNormal="150" workbookViewId="0" topLeftCell="A1">
      <selection activeCell="A1" sqref="A1:H30"/>
    </sheetView>
  </sheetViews>
  <sheetFormatPr defaultColWidth="9.140625" defaultRowHeight="12.75"/>
  <cols>
    <col min="1" max="1" width="9.421875" style="0" customWidth="1"/>
    <col min="2" max="2" width="37.57421875" style="0" customWidth="1"/>
    <col min="4" max="4" width="11.140625" style="0" customWidth="1"/>
    <col min="5" max="5" width="16.57421875" style="0" customWidth="1"/>
    <col min="6" max="6" width="7.28125" style="0" customWidth="1"/>
    <col min="7" max="7" width="4.7109375" style="0" hidden="1" customWidth="1"/>
    <col min="8" max="8" width="11.57421875" style="0" customWidth="1"/>
  </cols>
  <sheetData>
    <row r="1" ht="12.75">
      <c r="H1" s="356" t="s">
        <v>56</v>
      </c>
    </row>
    <row r="2" spans="1:8" ht="15.75">
      <c r="A2" s="819" t="s">
        <v>987</v>
      </c>
      <c r="B2" s="819"/>
      <c r="C2" s="819"/>
      <c r="D2" s="819"/>
      <c r="E2" s="819"/>
      <c r="F2" s="819"/>
      <c r="G2" s="819"/>
      <c r="H2" s="819"/>
    </row>
    <row r="3" spans="1:8" ht="15.75">
      <c r="A3" s="819" t="s">
        <v>988</v>
      </c>
      <c r="B3" s="819"/>
      <c r="C3" s="819"/>
      <c r="D3" s="819"/>
      <c r="E3" s="819"/>
      <c r="F3" s="819"/>
      <c r="G3" s="819"/>
      <c r="H3" s="819"/>
    </row>
    <row r="4" spans="1:8" ht="15.75">
      <c r="A4" s="819" t="s">
        <v>989</v>
      </c>
      <c r="B4" s="819"/>
      <c r="C4" s="819"/>
      <c r="D4" s="819"/>
      <c r="E4" s="819"/>
      <c r="F4" s="819"/>
      <c r="G4" s="819"/>
      <c r="H4" s="819"/>
    </row>
    <row r="5" spans="1:8" ht="15.75">
      <c r="A5" s="819" t="s">
        <v>211</v>
      </c>
      <c r="B5" s="819"/>
      <c r="C5" s="819"/>
      <c r="D5" s="819"/>
      <c r="E5" s="819"/>
      <c r="F5" s="819"/>
      <c r="G5" s="819"/>
      <c r="H5" s="819"/>
    </row>
    <row r="6" spans="1:8" ht="15.75">
      <c r="A6" s="102"/>
      <c r="B6" s="102"/>
      <c r="C6" s="102"/>
      <c r="D6" s="102"/>
      <c r="E6" s="275"/>
      <c r="F6" s="102"/>
      <c r="G6" s="102"/>
      <c r="H6" s="102"/>
    </row>
    <row r="7" spans="1:8" ht="34.5" customHeight="1">
      <c r="A7" s="820" t="s">
        <v>1049</v>
      </c>
      <c r="B7" s="820"/>
      <c r="C7" s="820"/>
      <c r="D7" s="820"/>
      <c r="E7" s="820"/>
      <c r="F7" s="820"/>
      <c r="G7" s="820"/>
      <c r="H7" s="820"/>
    </row>
    <row r="8" spans="1:8" ht="29.25" customHeight="1">
      <c r="A8" s="766" t="s">
        <v>1050</v>
      </c>
      <c r="B8" s="766"/>
      <c r="C8" s="766"/>
      <c r="D8" s="766"/>
      <c r="E8" s="766"/>
      <c r="F8" s="766"/>
      <c r="G8" s="766"/>
      <c r="H8" s="766"/>
    </row>
    <row r="9" spans="1:8" ht="19.5" customHeight="1">
      <c r="A9" s="821" t="s">
        <v>234</v>
      </c>
      <c r="B9" s="821"/>
      <c r="C9" s="821"/>
      <c r="D9" s="821"/>
      <c r="E9" s="821"/>
      <c r="F9" s="821"/>
      <c r="G9" s="821"/>
      <c r="H9" s="821"/>
    </row>
    <row r="10" spans="1:8" ht="19.5" customHeight="1">
      <c r="A10" s="821" t="s">
        <v>235</v>
      </c>
      <c r="B10" s="821"/>
      <c r="C10" s="821"/>
      <c r="D10" s="821"/>
      <c r="E10" s="821"/>
      <c r="F10" s="821"/>
      <c r="G10" s="821"/>
      <c r="H10" s="821"/>
    </row>
    <row r="11" spans="1:8" ht="19.5" customHeight="1">
      <c r="A11" s="821" t="s">
        <v>236</v>
      </c>
      <c r="B11" s="821"/>
      <c r="C11" s="821"/>
      <c r="D11" s="821"/>
      <c r="E11" s="821"/>
      <c r="F11" s="821"/>
      <c r="G11" s="821"/>
      <c r="H11" s="821"/>
    </row>
    <row r="12" spans="1:8" ht="19.5" customHeight="1">
      <c r="A12" s="821" t="s">
        <v>237</v>
      </c>
      <c r="B12" s="821"/>
      <c r="C12" s="821"/>
      <c r="D12" s="821"/>
      <c r="E12" s="821"/>
      <c r="F12" s="821"/>
      <c r="G12" s="821"/>
      <c r="H12" s="821"/>
    </row>
    <row r="13" spans="1:8" ht="19.5" customHeight="1">
      <c r="A13" s="821" t="s">
        <v>238</v>
      </c>
      <c r="B13" s="821"/>
      <c r="C13" s="821"/>
      <c r="D13" s="821"/>
      <c r="E13" s="821"/>
      <c r="F13" s="821"/>
      <c r="G13" s="821"/>
      <c r="H13" s="821"/>
    </row>
    <row r="14" spans="1:8" ht="19.5" customHeight="1">
      <c r="A14" s="821" t="s">
        <v>239</v>
      </c>
      <c r="B14" s="821"/>
      <c r="C14" s="821"/>
      <c r="D14" s="821"/>
      <c r="E14" s="821"/>
      <c r="F14" s="821"/>
      <c r="G14" s="821"/>
      <c r="H14" s="821"/>
    </row>
    <row r="15" spans="1:8" ht="19.5" customHeight="1">
      <c r="A15" s="821" t="s">
        <v>240</v>
      </c>
      <c r="B15" s="821"/>
      <c r="C15" s="821"/>
      <c r="D15" s="821"/>
      <c r="E15" s="821"/>
      <c r="F15" s="821"/>
      <c r="G15" s="821"/>
      <c r="H15" s="821"/>
    </row>
    <row r="16" spans="1:8" ht="19.5" customHeight="1">
      <c r="A16" s="23" t="s">
        <v>241</v>
      </c>
      <c r="B16" s="23"/>
      <c r="C16" s="23"/>
      <c r="D16" s="23"/>
      <c r="E16" s="276"/>
      <c r="F16" s="23"/>
      <c r="G16" s="23"/>
      <c r="H16" s="23"/>
    </row>
    <row r="17" spans="1:8" ht="19.5" customHeight="1">
      <c r="A17" s="766" t="s">
        <v>242</v>
      </c>
      <c r="B17" s="766"/>
      <c r="C17" s="766"/>
      <c r="D17" s="766"/>
      <c r="E17" s="766"/>
      <c r="F17" s="766"/>
      <c r="G17" s="766"/>
      <c r="H17" s="766"/>
    </row>
    <row r="18" spans="1:8" ht="19.5" customHeight="1">
      <c r="A18" s="277" t="s">
        <v>243</v>
      </c>
      <c r="B18" s="102"/>
      <c r="C18" s="102"/>
      <c r="D18" s="102"/>
      <c r="E18" s="703">
        <f>SUM(E19:E21)</f>
        <v>3165460</v>
      </c>
      <c r="F18" s="102"/>
      <c r="G18" s="102"/>
      <c r="H18" s="102"/>
    </row>
    <row r="19" spans="1:8" ht="19.5" customHeight="1">
      <c r="A19" s="102"/>
      <c r="B19" s="822" t="s">
        <v>244</v>
      </c>
      <c r="C19" s="822"/>
      <c r="D19" s="822"/>
      <c r="E19" s="275">
        <v>2562750</v>
      </c>
      <c r="F19" s="102"/>
      <c r="G19" s="102"/>
      <c r="H19" s="102"/>
    </row>
    <row r="20" spans="1:8" ht="50.25" customHeight="1">
      <c r="A20" s="102"/>
      <c r="B20" s="823" t="s">
        <v>517</v>
      </c>
      <c r="C20" s="823"/>
      <c r="D20" s="823"/>
      <c r="E20" s="275">
        <v>260470</v>
      </c>
      <c r="F20" s="102"/>
      <c r="G20" s="102"/>
      <c r="H20" s="102"/>
    </row>
    <row r="21" spans="1:8" ht="32.25" customHeight="1">
      <c r="A21" s="102"/>
      <c r="B21" s="824" t="s">
        <v>245</v>
      </c>
      <c r="C21" s="824"/>
      <c r="D21" s="824"/>
      <c r="E21" s="275">
        <v>342240</v>
      </c>
      <c r="F21" s="102"/>
      <c r="G21" s="102"/>
      <c r="H21" s="102"/>
    </row>
    <row r="22" spans="1:8" ht="21" customHeight="1">
      <c r="A22" s="821" t="s">
        <v>246</v>
      </c>
      <c r="B22" s="821"/>
      <c r="C22" s="821"/>
      <c r="D22" s="821"/>
      <c r="E22" s="704">
        <v>3165460</v>
      </c>
      <c r="F22" s="85"/>
      <c r="G22" s="85"/>
      <c r="H22" s="85"/>
    </row>
    <row r="23" spans="1:8" ht="30.75" customHeight="1">
      <c r="A23" s="102" t="s">
        <v>518</v>
      </c>
      <c r="B23" s="102"/>
      <c r="C23" s="102"/>
      <c r="D23" s="102"/>
      <c r="E23" s="275"/>
      <c r="F23" s="102"/>
      <c r="G23" s="102"/>
      <c r="H23" s="102"/>
    </row>
    <row r="24" spans="1:8" ht="19.5" customHeight="1">
      <c r="A24" s="277" t="s">
        <v>243</v>
      </c>
      <c r="B24" s="102"/>
      <c r="C24" s="102"/>
      <c r="D24" s="102"/>
      <c r="E24" s="703">
        <f>SUM(E25:E27)</f>
        <v>3153326.39</v>
      </c>
      <c r="F24" s="102"/>
      <c r="G24" s="102"/>
      <c r="H24" s="102"/>
    </row>
    <row r="25" spans="1:8" ht="19.5" customHeight="1">
      <c r="A25" s="102"/>
      <c r="B25" s="822" t="s">
        <v>244</v>
      </c>
      <c r="C25" s="822"/>
      <c r="D25" s="822"/>
      <c r="E25" s="275">
        <v>2557684.43</v>
      </c>
      <c r="F25" s="102"/>
      <c r="G25" s="102"/>
      <c r="H25" s="102"/>
    </row>
    <row r="26" spans="1:8" ht="57" customHeight="1">
      <c r="A26" s="102"/>
      <c r="B26" s="823" t="s">
        <v>517</v>
      </c>
      <c r="C26" s="823"/>
      <c r="D26" s="823"/>
      <c r="E26" s="275">
        <v>260470</v>
      </c>
      <c r="F26" s="102"/>
      <c r="G26" s="102"/>
      <c r="H26" s="102"/>
    </row>
    <row r="27" spans="1:8" ht="33" customHeight="1">
      <c r="A27" s="102"/>
      <c r="B27" s="824" t="s">
        <v>247</v>
      </c>
      <c r="C27" s="824"/>
      <c r="D27" s="824"/>
      <c r="E27" s="275">
        <v>335171.96</v>
      </c>
      <c r="F27" s="102"/>
      <c r="G27" s="102"/>
      <c r="H27" s="102"/>
    </row>
    <row r="28" spans="1:8" ht="22.5" customHeight="1">
      <c r="A28" s="821" t="s">
        <v>246</v>
      </c>
      <c r="B28" s="821"/>
      <c r="C28" s="821"/>
      <c r="D28" s="821"/>
      <c r="E28" s="704">
        <v>3092674.9</v>
      </c>
      <c r="F28" s="85"/>
      <c r="G28" s="85"/>
      <c r="H28" s="85"/>
    </row>
    <row r="29" spans="1:8" ht="19.5" customHeight="1">
      <c r="A29" s="102"/>
      <c r="B29" s="102" t="s">
        <v>420</v>
      </c>
      <c r="C29" s="102"/>
      <c r="D29" s="102"/>
      <c r="E29" s="275">
        <v>313007.08</v>
      </c>
      <c r="F29" s="102"/>
      <c r="G29" s="102"/>
      <c r="H29" s="102"/>
    </row>
    <row r="30" spans="1:8" ht="34.5" customHeight="1">
      <c r="A30" s="102" t="s">
        <v>421</v>
      </c>
      <c r="B30" s="102"/>
      <c r="C30" s="102"/>
      <c r="D30" s="102"/>
      <c r="E30" s="275"/>
      <c r="F30" s="102"/>
      <c r="G30" s="102"/>
      <c r="H30" s="102"/>
    </row>
  </sheetData>
  <mergeCells count="22">
    <mergeCell ref="A28:D28"/>
    <mergeCell ref="A15:H15"/>
    <mergeCell ref="A17:H17"/>
    <mergeCell ref="B19:D19"/>
    <mergeCell ref="B20:D20"/>
    <mergeCell ref="B27:D27"/>
    <mergeCell ref="B21:D21"/>
    <mergeCell ref="A22:D22"/>
    <mergeCell ref="B25:D25"/>
    <mergeCell ref="B26:D26"/>
    <mergeCell ref="A11:H11"/>
    <mergeCell ref="A12:H12"/>
    <mergeCell ref="A13:H13"/>
    <mergeCell ref="A14:H14"/>
    <mergeCell ref="A7:H7"/>
    <mergeCell ref="A8:H8"/>
    <mergeCell ref="A9:H9"/>
    <mergeCell ref="A10:H10"/>
    <mergeCell ref="A2:H2"/>
    <mergeCell ref="A3:H3"/>
    <mergeCell ref="A4:H4"/>
    <mergeCell ref="A5:H5"/>
  </mergeCells>
  <printOptions horizontalCentered="1"/>
  <pageMargins left="0.15748031496062992" right="0.15748031496062992" top="0.3937007874015748" bottom="0.15748031496062992" header="0.15748031496062992" footer="0.1574803149606299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C44"/>
  <sheetViews>
    <sheetView zoomScale="150" zoomScaleNormal="150" workbookViewId="0" topLeftCell="N39">
      <selection activeCell="A1" sqref="A1:AC43"/>
    </sheetView>
  </sheetViews>
  <sheetFormatPr defaultColWidth="9.140625" defaultRowHeight="12.75"/>
  <cols>
    <col min="1" max="1" width="4.421875" style="278" customWidth="1"/>
    <col min="2" max="2" width="6.421875" style="278" customWidth="1"/>
    <col min="3" max="3" width="4.421875" style="279" bestFit="1" customWidth="1"/>
    <col min="4" max="4" width="37.57421875" style="280" customWidth="1"/>
    <col min="5" max="6" width="11.7109375" style="281" hidden="1" customWidth="1"/>
    <col min="7" max="7" width="11.140625" style="281" hidden="1" customWidth="1"/>
    <col min="8" max="8" width="9.7109375" style="281" hidden="1" customWidth="1"/>
    <col min="9" max="9" width="11.7109375" style="281" hidden="1" customWidth="1"/>
    <col min="10" max="10" width="14.421875" style="281" hidden="1" customWidth="1"/>
    <col min="11" max="11" width="13.57421875" style="281" hidden="1" customWidth="1"/>
    <col min="12" max="12" width="14.421875" style="281" hidden="1" customWidth="1"/>
    <col min="13" max="13" width="12.8515625" style="281" hidden="1" customWidth="1"/>
    <col min="14" max="14" width="12.00390625" style="281" customWidth="1"/>
    <col min="15" max="21" width="9.140625" style="282" hidden="1" customWidth="1"/>
    <col min="22" max="25" width="10.00390625" style="282" hidden="1" customWidth="1"/>
    <col min="26" max="26" width="10.8515625" style="282" hidden="1" customWidth="1"/>
    <col min="27" max="27" width="11.28125" style="700" customWidth="1"/>
    <col min="28" max="28" width="8.7109375" style="283" bestFit="1" customWidth="1"/>
    <col min="29" max="29" width="49.140625" style="285" customWidth="1"/>
    <col min="30" max="16384" width="9.140625" style="280" customWidth="1"/>
  </cols>
  <sheetData>
    <row r="1" spans="14:29" ht="23.25" customHeight="1">
      <c r="N1" s="353"/>
      <c r="AC1" s="282" t="s">
        <v>520</v>
      </c>
    </row>
    <row r="2" spans="1:29" ht="15.75">
      <c r="A2" s="710" t="s">
        <v>721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5"/>
      <c r="Z2" s="705"/>
      <c r="AA2" s="706"/>
      <c r="AB2" s="705"/>
      <c r="AC2" s="705"/>
    </row>
    <row r="3" spans="1:29" ht="15.75">
      <c r="A3" s="710"/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5"/>
      <c r="W3" s="705"/>
      <c r="X3" s="705"/>
      <c r="Y3" s="705"/>
      <c r="Z3" s="705"/>
      <c r="AA3" s="706"/>
      <c r="AB3" s="705"/>
      <c r="AC3" s="705"/>
    </row>
    <row r="4" spans="1:29" s="295" customFormat="1" ht="24.75" customHeight="1">
      <c r="A4" s="290" t="s">
        <v>71</v>
      </c>
      <c r="B4" s="290" t="s">
        <v>1190</v>
      </c>
      <c r="C4" s="290" t="s">
        <v>73</v>
      </c>
      <c r="D4" s="291" t="s">
        <v>74</v>
      </c>
      <c r="E4" s="292" t="s">
        <v>422</v>
      </c>
      <c r="F4" s="292" t="s">
        <v>423</v>
      </c>
      <c r="G4" s="292" t="s">
        <v>424</v>
      </c>
      <c r="H4" s="292" t="s">
        <v>212</v>
      </c>
      <c r="I4" s="292" t="s">
        <v>213</v>
      </c>
      <c r="J4" s="292" t="s">
        <v>214</v>
      </c>
      <c r="K4" s="292" t="s">
        <v>215</v>
      </c>
      <c r="L4" s="292" t="s">
        <v>216</v>
      </c>
      <c r="M4" s="292" t="s">
        <v>217</v>
      </c>
      <c r="N4" s="329" t="s">
        <v>425</v>
      </c>
      <c r="O4" s="329" t="s">
        <v>78</v>
      </c>
      <c r="P4" s="329" t="s">
        <v>79</v>
      </c>
      <c r="Q4" s="329" t="s">
        <v>80</v>
      </c>
      <c r="R4" s="329" t="s">
        <v>81</v>
      </c>
      <c r="S4" s="329" t="s">
        <v>82</v>
      </c>
      <c r="T4" s="329" t="s">
        <v>83</v>
      </c>
      <c r="U4" s="329" t="s">
        <v>84</v>
      </c>
      <c r="V4" s="329" t="s">
        <v>85</v>
      </c>
      <c r="W4" s="329" t="s">
        <v>86</v>
      </c>
      <c r="X4" s="329" t="s">
        <v>87</v>
      </c>
      <c r="Y4" s="329" t="s">
        <v>88</v>
      </c>
      <c r="Z4" s="329" t="s">
        <v>89</v>
      </c>
      <c r="AA4" s="329" t="s">
        <v>218</v>
      </c>
      <c r="AB4" s="294" t="s">
        <v>90</v>
      </c>
      <c r="AC4" s="292" t="s">
        <v>437</v>
      </c>
    </row>
    <row r="5" spans="1:29" ht="26.25" customHeight="1">
      <c r="A5" s="296">
        <v>400</v>
      </c>
      <c r="B5" s="297"/>
      <c r="C5" s="298"/>
      <c r="D5" s="299" t="s">
        <v>428</v>
      </c>
      <c r="E5" s="300">
        <f aca="true" t="shared" si="0" ref="E5:M5">E6</f>
        <v>604885</v>
      </c>
      <c r="F5" s="300">
        <f t="shared" si="0"/>
        <v>0</v>
      </c>
      <c r="G5" s="300">
        <f t="shared" si="0"/>
        <v>0</v>
      </c>
      <c r="H5" s="300">
        <f t="shared" si="0"/>
        <v>16470</v>
      </c>
      <c r="I5" s="300">
        <f t="shared" si="0"/>
        <v>34000</v>
      </c>
      <c r="J5" s="300">
        <f t="shared" si="0"/>
        <v>0</v>
      </c>
      <c r="K5" s="300">
        <f t="shared" si="0"/>
        <v>35045</v>
      </c>
      <c r="L5" s="300">
        <f t="shared" si="0"/>
        <v>57000</v>
      </c>
      <c r="M5" s="300">
        <f t="shared" si="0"/>
        <v>8600</v>
      </c>
      <c r="N5" s="300">
        <f aca="true" t="shared" si="1" ref="N5:AA5">SUM(N7:N12)</f>
        <v>756000</v>
      </c>
      <c r="O5" s="300">
        <f t="shared" si="1"/>
        <v>55912.95</v>
      </c>
      <c r="P5" s="300">
        <f t="shared" si="1"/>
        <v>48979.09</v>
      </c>
      <c r="Q5" s="300">
        <f t="shared" si="1"/>
        <v>49639.200000000004</v>
      </c>
      <c r="R5" s="300">
        <f t="shared" si="1"/>
        <v>47628.42</v>
      </c>
      <c r="S5" s="300">
        <f t="shared" si="1"/>
        <v>66977</v>
      </c>
      <c r="T5" s="300">
        <f t="shared" si="1"/>
        <v>61538.62</v>
      </c>
      <c r="U5" s="300">
        <f t="shared" si="1"/>
        <v>64896.11000000001</v>
      </c>
      <c r="V5" s="300">
        <f t="shared" si="1"/>
        <v>84782.65999999999</v>
      </c>
      <c r="W5" s="300">
        <f t="shared" si="1"/>
        <v>74544.90000000001</v>
      </c>
      <c r="X5" s="300">
        <f t="shared" si="1"/>
        <v>66316.66</v>
      </c>
      <c r="Y5" s="300">
        <f t="shared" si="1"/>
        <v>73987.35999999999</v>
      </c>
      <c r="Z5" s="300">
        <f t="shared" si="1"/>
        <v>48323.196074766354</v>
      </c>
      <c r="AA5" s="300">
        <f t="shared" si="1"/>
        <v>743526.1660747663</v>
      </c>
      <c r="AB5" s="301">
        <f aca="true" t="shared" si="2" ref="AB5:AB22">AA5/N5</f>
        <v>0.9835002196756168</v>
      </c>
      <c r="AC5" s="302"/>
    </row>
    <row r="6" spans="1:29" ht="14.25" customHeight="1">
      <c r="A6" s="290"/>
      <c r="B6" s="303">
        <v>40002</v>
      </c>
      <c r="C6" s="304"/>
      <c r="D6" s="305" t="s">
        <v>429</v>
      </c>
      <c r="E6" s="306">
        <f>SUM(E7:E12)</f>
        <v>604885</v>
      </c>
      <c r="F6" s="306">
        <f aca="true" t="shared" si="3" ref="F6:AA6">SUM(F7:F12)</f>
        <v>0</v>
      </c>
      <c r="G6" s="306">
        <f t="shared" si="3"/>
        <v>0</v>
      </c>
      <c r="H6" s="306">
        <f t="shared" si="3"/>
        <v>16470</v>
      </c>
      <c r="I6" s="306">
        <f t="shared" si="3"/>
        <v>34000</v>
      </c>
      <c r="J6" s="306">
        <f t="shared" si="3"/>
        <v>0</v>
      </c>
      <c r="K6" s="306">
        <f t="shared" si="3"/>
        <v>35045</v>
      </c>
      <c r="L6" s="306">
        <f t="shared" si="3"/>
        <v>57000</v>
      </c>
      <c r="M6" s="306">
        <f t="shared" si="3"/>
        <v>8600</v>
      </c>
      <c r="N6" s="306">
        <f t="shared" si="3"/>
        <v>756000</v>
      </c>
      <c r="O6" s="306">
        <f t="shared" si="3"/>
        <v>55912.95</v>
      </c>
      <c r="P6" s="306">
        <f t="shared" si="3"/>
        <v>48979.09</v>
      </c>
      <c r="Q6" s="306">
        <f t="shared" si="3"/>
        <v>49639.200000000004</v>
      </c>
      <c r="R6" s="306">
        <f t="shared" si="3"/>
        <v>47628.42</v>
      </c>
      <c r="S6" s="306">
        <f t="shared" si="3"/>
        <v>66977</v>
      </c>
      <c r="T6" s="306">
        <f t="shared" si="3"/>
        <v>61538.62</v>
      </c>
      <c r="U6" s="306">
        <f t="shared" si="3"/>
        <v>64896.11000000001</v>
      </c>
      <c r="V6" s="306">
        <f t="shared" si="3"/>
        <v>84782.65999999999</v>
      </c>
      <c r="W6" s="306">
        <f t="shared" si="3"/>
        <v>74544.90000000001</v>
      </c>
      <c r="X6" s="306">
        <f t="shared" si="3"/>
        <v>66316.66</v>
      </c>
      <c r="Y6" s="306">
        <f t="shared" si="3"/>
        <v>73987.35999999999</v>
      </c>
      <c r="Z6" s="306">
        <f t="shared" si="3"/>
        <v>48323.196074766354</v>
      </c>
      <c r="AA6" s="318">
        <f t="shared" si="3"/>
        <v>743526.1660747663</v>
      </c>
      <c r="AB6" s="307">
        <f t="shared" si="2"/>
        <v>0.9835002196756168</v>
      </c>
      <c r="AC6" s="825" t="s">
        <v>561</v>
      </c>
    </row>
    <row r="7" spans="1:29" ht="14.25" customHeight="1">
      <c r="A7" s="290"/>
      <c r="B7" s="308"/>
      <c r="C7" s="309" t="s">
        <v>959</v>
      </c>
      <c r="D7" s="310" t="s">
        <v>960</v>
      </c>
      <c r="E7" s="311"/>
      <c r="F7" s="311"/>
      <c r="G7" s="311"/>
      <c r="H7" s="311"/>
      <c r="I7" s="311"/>
      <c r="J7" s="311">
        <v>6000</v>
      </c>
      <c r="K7" s="311">
        <v>2000</v>
      </c>
      <c r="L7" s="311">
        <v>9000</v>
      </c>
      <c r="M7" s="320">
        <v>6000</v>
      </c>
      <c r="N7" s="311">
        <f aca="true" t="shared" si="4" ref="N7:N12">SUM(E7:M7)</f>
        <v>23000</v>
      </c>
      <c r="O7" s="311"/>
      <c r="P7" s="311"/>
      <c r="Q7" s="311"/>
      <c r="R7" s="311"/>
      <c r="S7" s="311"/>
      <c r="T7" s="311"/>
      <c r="U7" s="311"/>
      <c r="V7" s="311">
        <v>3716.64</v>
      </c>
      <c r="W7" s="311">
        <v>3828.57</v>
      </c>
      <c r="X7" s="311">
        <v>4963</v>
      </c>
      <c r="Y7" s="311">
        <v>5572.09</v>
      </c>
      <c r="Z7" s="311">
        <v>1568.09</v>
      </c>
      <c r="AA7" s="320">
        <f>SUM(O7:Z7)</f>
        <v>19648.39</v>
      </c>
      <c r="AB7" s="312">
        <f t="shared" si="2"/>
        <v>0.8542778260869565</v>
      </c>
      <c r="AC7" s="826"/>
    </row>
    <row r="8" spans="1:29" ht="14.25" customHeight="1">
      <c r="A8" s="290"/>
      <c r="B8" s="308"/>
      <c r="C8" s="309" t="s">
        <v>355</v>
      </c>
      <c r="D8" s="310" t="s">
        <v>356</v>
      </c>
      <c r="E8" s="311">
        <v>539785</v>
      </c>
      <c r="F8" s="311">
        <v>-6000</v>
      </c>
      <c r="G8" s="311"/>
      <c r="H8" s="311"/>
      <c r="I8" s="311">
        <v>15300</v>
      </c>
      <c r="J8" s="311"/>
      <c r="K8" s="311">
        <v>25545</v>
      </c>
      <c r="L8" s="311">
        <v>47600</v>
      </c>
      <c r="M8" s="320">
        <v>21560</v>
      </c>
      <c r="N8" s="311">
        <f t="shared" si="4"/>
        <v>643790</v>
      </c>
      <c r="O8" s="311">
        <v>47100.67</v>
      </c>
      <c r="P8" s="311">
        <v>43802.12</v>
      </c>
      <c r="Q8" s="311">
        <v>39907.62</v>
      </c>
      <c r="R8" s="311">
        <v>41850.24</v>
      </c>
      <c r="S8" s="311">
        <v>61664.33</v>
      </c>
      <c r="T8" s="311">
        <v>55380.78</v>
      </c>
      <c r="U8" s="311">
        <v>60102.48</v>
      </c>
      <c r="V8" s="311">
        <v>59102.59</v>
      </c>
      <c r="W8" s="311">
        <v>65433.07</v>
      </c>
      <c r="X8" s="311">
        <v>55857.09</v>
      </c>
      <c r="Y8" s="311">
        <v>63515.95</v>
      </c>
      <c r="Z8" s="311">
        <f>42350.68+292.41</f>
        <v>42643.090000000004</v>
      </c>
      <c r="AA8" s="320">
        <f>SUM(O8:Z8)</f>
        <v>636360.0299999999</v>
      </c>
      <c r="AB8" s="312">
        <f>AA8/N8</f>
        <v>0.9884590161388029</v>
      </c>
      <c r="AC8" s="826"/>
    </row>
    <row r="9" spans="1:29" ht="14.25" customHeight="1">
      <c r="A9" s="290"/>
      <c r="B9" s="308"/>
      <c r="C9" s="309" t="s">
        <v>122</v>
      </c>
      <c r="D9" s="310" t="s">
        <v>123</v>
      </c>
      <c r="E9" s="311">
        <v>100</v>
      </c>
      <c r="F9" s="311">
        <v>1000</v>
      </c>
      <c r="G9" s="311"/>
      <c r="H9" s="311"/>
      <c r="I9" s="311">
        <v>700</v>
      </c>
      <c r="J9" s="311"/>
      <c r="K9" s="311">
        <v>500</v>
      </c>
      <c r="L9" s="311">
        <v>400</v>
      </c>
      <c r="M9" s="320">
        <v>100</v>
      </c>
      <c r="N9" s="311">
        <f t="shared" si="4"/>
        <v>2800</v>
      </c>
      <c r="O9" s="311">
        <v>115.73</v>
      </c>
      <c r="P9" s="311">
        <v>92.06</v>
      </c>
      <c r="Q9" s="311">
        <v>197.86</v>
      </c>
      <c r="R9" s="311">
        <v>264.99</v>
      </c>
      <c r="S9" s="311">
        <v>76.42</v>
      </c>
      <c r="T9" s="311">
        <v>333.12</v>
      </c>
      <c r="U9" s="311">
        <v>48.58</v>
      </c>
      <c r="V9" s="311">
        <v>179.78</v>
      </c>
      <c r="W9" s="311">
        <v>715.16</v>
      </c>
      <c r="X9" s="311">
        <v>217.57</v>
      </c>
      <c r="Y9" s="311">
        <v>271.45</v>
      </c>
      <c r="Z9" s="311">
        <v>423.06</v>
      </c>
      <c r="AA9" s="320">
        <f aca="true" t="shared" si="5" ref="AA9:AA42">SUM(O9:Z9)</f>
        <v>2935.7799999999997</v>
      </c>
      <c r="AB9" s="312">
        <f t="shared" si="2"/>
        <v>1.0484928571428571</v>
      </c>
      <c r="AC9" s="826"/>
    </row>
    <row r="10" spans="1:29" ht="14.25" customHeight="1">
      <c r="A10" s="290"/>
      <c r="B10" s="308"/>
      <c r="C10" s="309" t="s">
        <v>96</v>
      </c>
      <c r="D10" s="310" t="s">
        <v>97</v>
      </c>
      <c r="E10" s="311">
        <v>35000</v>
      </c>
      <c r="F10" s="311">
        <v>5000</v>
      </c>
      <c r="G10" s="311"/>
      <c r="H10" s="311"/>
      <c r="I10" s="311">
        <v>18000</v>
      </c>
      <c r="J10" s="311">
        <v>-6000</v>
      </c>
      <c r="K10" s="311">
        <v>7000</v>
      </c>
      <c r="L10" s="311"/>
      <c r="M10" s="320">
        <v>2500</v>
      </c>
      <c r="N10" s="311">
        <f t="shared" si="4"/>
        <v>61500</v>
      </c>
      <c r="O10" s="311">
        <v>6360.1</v>
      </c>
      <c r="P10" s="311">
        <v>5084.91</v>
      </c>
      <c r="Q10" s="311">
        <v>4860.82</v>
      </c>
      <c r="R10" s="311">
        <v>5513.19</v>
      </c>
      <c r="S10" s="311">
        <v>5236.25</v>
      </c>
      <c r="T10" s="311">
        <v>5824.72</v>
      </c>
      <c r="U10" s="311">
        <v>4745.05</v>
      </c>
      <c r="V10" s="311">
        <v>2977.2</v>
      </c>
      <c r="W10" s="311">
        <v>4568.1</v>
      </c>
      <c r="X10" s="311">
        <v>5279</v>
      </c>
      <c r="Y10" s="311">
        <v>4627.87</v>
      </c>
      <c r="Z10" s="311">
        <v>5146.9</v>
      </c>
      <c r="AA10" s="320">
        <f t="shared" si="5"/>
        <v>60224.11</v>
      </c>
      <c r="AB10" s="312">
        <f t="shared" si="2"/>
        <v>0.9792538211382114</v>
      </c>
      <c r="AC10" s="826"/>
    </row>
    <row r="11" spans="1:29" ht="14.25" customHeight="1">
      <c r="A11" s="290"/>
      <c r="B11" s="308"/>
      <c r="C11" s="309" t="s">
        <v>430</v>
      </c>
      <c r="D11" s="310" t="s">
        <v>431</v>
      </c>
      <c r="E11" s="311">
        <v>30000</v>
      </c>
      <c r="F11" s="311"/>
      <c r="G11" s="311"/>
      <c r="H11" s="311"/>
      <c r="I11" s="311"/>
      <c r="J11" s="311"/>
      <c r="K11" s="311"/>
      <c r="L11" s="320"/>
      <c r="M11" s="320">
        <v>-21560</v>
      </c>
      <c r="N11" s="311">
        <f t="shared" si="4"/>
        <v>8440</v>
      </c>
      <c r="O11" s="311">
        <v>2336.45</v>
      </c>
      <c r="P11" s="311">
        <v>0</v>
      </c>
      <c r="Q11" s="311">
        <v>4672.9</v>
      </c>
      <c r="R11" s="311">
        <v>0</v>
      </c>
      <c r="S11" s="311">
        <v>0</v>
      </c>
      <c r="T11" s="311">
        <v>0</v>
      </c>
      <c r="U11" s="311"/>
      <c r="V11" s="311">
        <v>2336.45</v>
      </c>
      <c r="W11" s="311"/>
      <c r="X11" s="311"/>
      <c r="Y11" s="311"/>
      <c r="Z11" s="311">
        <f>-1560/1.07</f>
        <v>-1457.9439252336447</v>
      </c>
      <c r="AA11" s="320">
        <f>SUM(O11:Z11)</f>
        <v>7887.856074766354</v>
      </c>
      <c r="AB11" s="312">
        <f>AA11/N11</f>
        <v>0.9345801036453026</v>
      </c>
      <c r="AC11" s="827"/>
    </row>
    <row r="12" spans="1:29" ht="54.75" customHeight="1">
      <c r="A12" s="290"/>
      <c r="B12" s="308"/>
      <c r="C12" s="309">
        <v>6210</v>
      </c>
      <c r="D12" s="310" t="s">
        <v>395</v>
      </c>
      <c r="E12" s="311"/>
      <c r="F12" s="311"/>
      <c r="G12" s="311"/>
      <c r="H12" s="311">
        <v>16470</v>
      </c>
      <c r="I12" s="311"/>
      <c r="J12" s="311"/>
      <c r="K12" s="311"/>
      <c r="L12" s="311"/>
      <c r="M12" s="320"/>
      <c r="N12" s="311">
        <f t="shared" si="4"/>
        <v>16470</v>
      </c>
      <c r="O12" s="311"/>
      <c r="P12" s="311"/>
      <c r="Q12" s="311"/>
      <c r="R12" s="311"/>
      <c r="S12" s="311"/>
      <c r="T12" s="311"/>
      <c r="U12" s="311"/>
      <c r="V12" s="311">
        <v>16470</v>
      </c>
      <c r="W12" s="311"/>
      <c r="X12" s="311"/>
      <c r="Y12" s="311"/>
      <c r="Z12" s="311"/>
      <c r="AA12" s="320">
        <f t="shared" si="5"/>
        <v>16470</v>
      </c>
      <c r="AB12" s="312">
        <f>AA12/N12</f>
        <v>1</v>
      </c>
      <c r="AC12" s="707" t="s">
        <v>219</v>
      </c>
    </row>
    <row r="13" spans="1:29" s="284" customFormat="1" ht="14.25" customHeight="1">
      <c r="A13" s="297">
        <v>600</v>
      </c>
      <c r="B13" s="296"/>
      <c r="C13" s="313"/>
      <c r="D13" s="299" t="s">
        <v>107</v>
      </c>
      <c r="E13" s="314">
        <f aca="true" t="shared" si="6" ref="E13:S14">SUM(E14)</f>
        <v>174200</v>
      </c>
      <c r="F13" s="314">
        <f t="shared" si="6"/>
        <v>0</v>
      </c>
      <c r="G13" s="314">
        <f>SUM(G14)</f>
        <v>0</v>
      </c>
      <c r="H13" s="314">
        <f>SUM(H14)</f>
        <v>0</v>
      </c>
      <c r="I13" s="314">
        <f t="shared" si="6"/>
        <v>0</v>
      </c>
      <c r="J13" s="314">
        <f>SUM(J14)</f>
        <v>0</v>
      </c>
      <c r="K13" s="314">
        <f>SUM(K14)</f>
        <v>0</v>
      </c>
      <c r="L13" s="314">
        <f>SUM(L14)</f>
        <v>0</v>
      </c>
      <c r="M13" s="314">
        <f>SUM(M14)</f>
        <v>0</v>
      </c>
      <c r="N13" s="314">
        <f aca="true" t="shared" si="7" ref="N13:AA14">SUM(N14)</f>
        <v>174200</v>
      </c>
      <c r="O13" s="314">
        <f t="shared" si="7"/>
        <v>18000</v>
      </c>
      <c r="P13" s="314">
        <f t="shared" si="7"/>
        <v>21000</v>
      </c>
      <c r="Q13" s="314">
        <f t="shared" si="7"/>
        <v>30000</v>
      </c>
      <c r="R13" s="314">
        <f t="shared" si="7"/>
        <v>30000</v>
      </c>
      <c r="S13" s="314">
        <f t="shared" si="7"/>
        <v>20000</v>
      </c>
      <c r="T13" s="314">
        <f t="shared" si="7"/>
        <v>0</v>
      </c>
      <c r="U13" s="314">
        <f t="shared" si="7"/>
        <v>0</v>
      </c>
      <c r="V13" s="314">
        <f t="shared" si="7"/>
        <v>0</v>
      </c>
      <c r="W13" s="314">
        <f t="shared" si="7"/>
        <v>10000</v>
      </c>
      <c r="X13" s="314">
        <f t="shared" si="7"/>
        <v>0</v>
      </c>
      <c r="Y13" s="314">
        <f t="shared" si="7"/>
        <v>0</v>
      </c>
      <c r="Z13" s="314">
        <f t="shared" si="7"/>
        <v>45200</v>
      </c>
      <c r="AA13" s="314">
        <f t="shared" si="7"/>
        <v>174200</v>
      </c>
      <c r="AB13" s="301">
        <f t="shared" si="2"/>
        <v>1</v>
      </c>
      <c r="AC13" s="315"/>
    </row>
    <row r="14" spans="1:29" s="284" customFormat="1" ht="14.25" customHeight="1">
      <c r="A14" s="290"/>
      <c r="B14" s="303">
        <v>60016</v>
      </c>
      <c r="C14" s="316"/>
      <c r="D14" s="305" t="s">
        <v>110</v>
      </c>
      <c r="E14" s="306">
        <f t="shared" si="6"/>
        <v>174200</v>
      </c>
      <c r="F14" s="306">
        <f t="shared" si="6"/>
        <v>0</v>
      </c>
      <c r="G14" s="306">
        <f t="shared" si="6"/>
        <v>0</v>
      </c>
      <c r="H14" s="306">
        <f t="shared" si="6"/>
        <v>0</v>
      </c>
      <c r="I14" s="306">
        <f t="shared" si="6"/>
        <v>0</v>
      </c>
      <c r="J14" s="306">
        <f t="shared" si="6"/>
        <v>0</v>
      </c>
      <c r="K14" s="306">
        <f t="shared" si="6"/>
        <v>0</v>
      </c>
      <c r="L14" s="306">
        <f t="shared" si="6"/>
        <v>0</v>
      </c>
      <c r="M14" s="306">
        <f t="shared" si="6"/>
        <v>0</v>
      </c>
      <c r="N14" s="306">
        <f t="shared" si="6"/>
        <v>174200</v>
      </c>
      <c r="O14" s="306">
        <f t="shared" si="6"/>
        <v>18000</v>
      </c>
      <c r="P14" s="306">
        <f t="shared" si="6"/>
        <v>21000</v>
      </c>
      <c r="Q14" s="306">
        <f t="shared" si="6"/>
        <v>30000</v>
      </c>
      <c r="R14" s="306">
        <f t="shared" si="6"/>
        <v>30000</v>
      </c>
      <c r="S14" s="306">
        <f t="shared" si="6"/>
        <v>20000</v>
      </c>
      <c r="T14" s="306">
        <f t="shared" si="7"/>
        <v>0</v>
      </c>
      <c r="U14" s="306">
        <f t="shared" si="7"/>
        <v>0</v>
      </c>
      <c r="V14" s="306">
        <f t="shared" si="7"/>
        <v>0</v>
      </c>
      <c r="W14" s="306">
        <f t="shared" si="7"/>
        <v>10000</v>
      </c>
      <c r="X14" s="306">
        <f t="shared" si="7"/>
        <v>0</v>
      </c>
      <c r="Y14" s="306">
        <f t="shared" si="7"/>
        <v>0</v>
      </c>
      <c r="Z14" s="306">
        <f t="shared" si="7"/>
        <v>45200</v>
      </c>
      <c r="AA14" s="318">
        <f t="shared" si="7"/>
        <v>174200</v>
      </c>
      <c r="AB14" s="307">
        <f t="shared" si="2"/>
        <v>1</v>
      </c>
      <c r="AC14" s="828" t="s">
        <v>432</v>
      </c>
    </row>
    <row r="15" spans="1:29" ht="16.5" customHeight="1">
      <c r="A15" s="290"/>
      <c r="B15" s="308"/>
      <c r="C15" s="309">
        <v>2650</v>
      </c>
      <c r="D15" s="310" t="s">
        <v>431</v>
      </c>
      <c r="E15" s="311">
        <v>174200</v>
      </c>
      <c r="F15" s="311"/>
      <c r="G15" s="311"/>
      <c r="H15" s="311"/>
      <c r="I15" s="311"/>
      <c r="J15" s="311"/>
      <c r="K15" s="311"/>
      <c r="L15" s="311"/>
      <c r="M15" s="311"/>
      <c r="N15" s="311">
        <f>SUM(E15:M15)</f>
        <v>174200</v>
      </c>
      <c r="O15" s="311">
        <v>18000</v>
      </c>
      <c r="P15" s="311">
        <v>21000</v>
      </c>
      <c r="Q15" s="311">
        <v>30000</v>
      </c>
      <c r="R15" s="311">
        <v>30000</v>
      </c>
      <c r="S15" s="311">
        <v>20000</v>
      </c>
      <c r="T15" s="311">
        <v>0</v>
      </c>
      <c r="U15" s="311"/>
      <c r="V15" s="311"/>
      <c r="W15" s="311">
        <v>10000</v>
      </c>
      <c r="X15" s="311"/>
      <c r="Y15" s="311"/>
      <c r="Z15" s="311">
        <v>45200</v>
      </c>
      <c r="AA15" s="320">
        <f t="shared" si="5"/>
        <v>174200</v>
      </c>
      <c r="AB15" s="312">
        <f t="shared" si="2"/>
        <v>1</v>
      </c>
      <c r="AC15" s="828"/>
    </row>
    <row r="16" spans="1:29" ht="14.25" customHeight="1">
      <c r="A16" s="297">
        <v>700</v>
      </c>
      <c r="B16" s="297"/>
      <c r="C16" s="298"/>
      <c r="D16" s="299" t="s">
        <v>113</v>
      </c>
      <c r="E16" s="300">
        <f aca="true" t="shared" si="8" ref="E16:M16">E17</f>
        <v>283100</v>
      </c>
      <c r="F16" s="300">
        <f t="shared" si="8"/>
        <v>0</v>
      </c>
      <c r="G16" s="300">
        <f t="shared" si="8"/>
        <v>0</v>
      </c>
      <c r="H16" s="300">
        <f t="shared" si="8"/>
        <v>0</v>
      </c>
      <c r="I16" s="300">
        <f t="shared" si="8"/>
        <v>19000</v>
      </c>
      <c r="J16" s="300">
        <f t="shared" si="8"/>
        <v>0</v>
      </c>
      <c r="K16" s="300">
        <f t="shared" si="8"/>
        <v>13000</v>
      </c>
      <c r="L16" s="300">
        <f t="shared" si="8"/>
        <v>5000</v>
      </c>
      <c r="M16" s="300">
        <f t="shared" si="8"/>
        <v>11910</v>
      </c>
      <c r="N16" s="300">
        <f>SUM(N18:N22)</f>
        <v>332010</v>
      </c>
      <c r="O16" s="300">
        <f>SUM(O18:O22)</f>
        <v>33877.46</v>
      </c>
      <c r="P16" s="300">
        <f>SUM(P18:P22)</f>
        <v>29719.82</v>
      </c>
      <c r="Q16" s="300">
        <f>SUM(Q18:Q22)</f>
        <v>30637.960000000003</v>
      </c>
      <c r="R16" s="300">
        <f>SUM(R18:R22)</f>
        <v>29293.07</v>
      </c>
      <c r="S16" s="300">
        <f aca="true" t="shared" si="9" ref="S16:AA16">SUM(S18:S22)</f>
        <v>27226.43</v>
      </c>
      <c r="T16" s="300">
        <f t="shared" si="9"/>
        <v>24565.3</v>
      </c>
      <c r="U16" s="300">
        <f t="shared" si="9"/>
        <v>26949.550000000003</v>
      </c>
      <c r="V16" s="300">
        <f t="shared" si="9"/>
        <v>25357.52</v>
      </c>
      <c r="W16" s="300">
        <f t="shared" si="9"/>
        <v>26156.86</v>
      </c>
      <c r="X16" s="300">
        <f t="shared" si="9"/>
        <v>23559.899999999998</v>
      </c>
      <c r="Y16" s="300">
        <f t="shared" si="9"/>
        <v>25706.170000000002</v>
      </c>
      <c r="Z16" s="300">
        <f t="shared" si="9"/>
        <v>28954.649999999998</v>
      </c>
      <c r="AA16" s="300">
        <f t="shared" si="9"/>
        <v>332004.69</v>
      </c>
      <c r="AB16" s="301">
        <f t="shared" si="2"/>
        <v>0.9999840065058282</v>
      </c>
      <c r="AC16" s="317"/>
    </row>
    <row r="17" spans="1:29" ht="15.75" customHeight="1">
      <c r="A17" s="290"/>
      <c r="B17" s="290">
        <v>70005</v>
      </c>
      <c r="C17" s="304"/>
      <c r="D17" s="305" t="s">
        <v>114</v>
      </c>
      <c r="E17" s="318">
        <f>SUM(E18:E23)</f>
        <v>283100</v>
      </c>
      <c r="F17" s="318">
        <f aca="true" t="shared" si="10" ref="F17:AA17">SUM(F18:F23)</f>
        <v>0</v>
      </c>
      <c r="G17" s="318">
        <f t="shared" si="10"/>
        <v>0</v>
      </c>
      <c r="H17" s="318">
        <f t="shared" si="10"/>
        <v>0</v>
      </c>
      <c r="I17" s="318">
        <f t="shared" si="10"/>
        <v>19000</v>
      </c>
      <c r="J17" s="318">
        <f t="shared" si="10"/>
        <v>0</v>
      </c>
      <c r="K17" s="318">
        <f t="shared" si="10"/>
        <v>13000</v>
      </c>
      <c r="L17" s="318">
        <f t="shared" si="10"/>
        <v>5000</v>
      </c>
      <c r="M17" s="318">
        <f t="shared" si="10"/>
        <v>11910</v>
      </c>
      <c r="N17" s="318">
        <f t="shared" si="10"/>
        <v>332010</v>
      </c>
      <c r="O17" s="318">
        <f t="shared" si="10"/>
        <v>33877.46</v>
      </c>
      <c r="P17" s="318">
        <f t="shared" si="10"/>
        <v>29719.82</v>
      </c>
      <c r="Q17" s="318">
        <f t="shared" si="10"/>
        <v>30637.960000000003</v>
      </c>
      <c r="R17" s="318">
        <f t="shared" si="10"/>
        <v>29293.07</v>
      </c>
      <c r="S17" s="318">
        <f t="shared" si="10"/>
        <v>27226.43</v>
      </c>
      <c r="T17" s="318">
        <f t="shared" si="10"/>
        <v>24565.3</v>
      </c>
      <c r="U17" s="318">
        <f t="shared" si="10"/>
        <v>26949.550000000003</v>
      </c>
      <c r="V17" s="318">
        <f t="shared" si="10"/>
        <v>25357.52</v>
      </c>
      <c r="W17" s="318">
        <f t="shared" si="10"/>
        <v>26156.86</v>
      </c>
      <c r="X17" s="318">
        <f t="shared" si="10"/>
        <v>23559.899999999998</v>
      </c>
      <c r="Y17" s="318">
        <f t="shared" si="10"/>
        <v>25706.170000000002</v>
      </c>
      <c r="Z17" s="318">
        <f t="shared" si="10"/>
        <v>28954.649999999998</v>
      </c>
      <c r="AA17" s="318">
        <f t="shared" si="10"/>
        <v>332004.69</v>
      </c>
      <c r="AB17" s="307">
        <f t="shared" si="2"/>
        <v>0.9999840065058282</v>
      </c>
      <c r="AC17" s="829" t="s">
        <v>220</v>
      </c>
    </row>
    <row r="18" spans="1:29" ht="14.25" customHeight="1">
      <c r="A18" s="290"/>
      <c r="B18" s="319"/>
      <c r="C18" s="309" t="s">
        <v>959</v>
      </c>
      <c r="D18" s="310" t="s">
        <v>960</v>
      </c>
      <c r="E18" s="320"/>
      <c r="F18" s="320"/>
      <c r="G18" s="320"/>
      <c r="H18" s="320"/>
      <c r="I18" s="320"/>
      <c r="J18" s="320">
        <v>50</v>
      </c>
      <c r="K18" s="320"/>
      <c r="L18" s="320"/>
      <c r="M18" s="320">
        <v>10</v>
      </c>
      <c r="N18" s="311">
        <f aca="true" t="shared" si="11" ref="N18:N23">SUM(E18:M18)</f>
        <v>60</v>
      </c>
      <c r="O18" s="311"/>
      <c r="P18" s="311"/>
      <c r="Q18" s="311"/>
      <c r="R18" s="311"/>
      <c r="S18" s="311"/>
      <c r="T18" s="311"/>
      <c r="U18" s="311"/>
      <c r="V18" s="311">
        <v>6</v>
      </c>
      <c r="W18" s="311">
        <v>18</v>
      </c>
      <c r="X18" s="311">
        <v>6</v>
      </c>
      <c r="Y18" s="311">
        <v>30</v>
      </c>
      <c r="Z18" s="311"/>
      <c r="AA18" s="320">
        <f t="shared" si="5"/>
        <v>60</v>
      </c>
      <c r="AB18" s="312">
        <f t="shared" si="2"/>
        <v>1</v>
      </c>
      <c r="AC18" s="829"/>
    </row>
    <row r="19" spans="1:29" ht="27" customHeight="1">
      <c r="A19" s="290"/>
      <c r="B19" s="319"/>
      <c r="C19" s="309" t="s">
        <v>100</v>
      </c>
      <c r="D19" s="310" t="s">
        <v>519</v>
      </c>
      <c r="E19" s="320"/>
      <c r="F19" s="320">
        <v>140000</v>
      </c>
      <c r="G19" s="320"/>
      <c r="H19" s="320"/>
      <c r="I19" s="320">
        <v>7000</v>
      </c>
      <c r="J19" s="320"/>
      <c r="K19" s="320">
        <v>2000</v>
      </c>
      <c r="L19" s="320">
        <v>5000</v>
      </c>
      <c r="M19" s="320">
        <v>3410</v>
      </c>
      <c r="N19" s="311">
        <f t="shared" si="11"/>
        <v>157410</v>
      </c>
      <c r="O19" s="311">
        <v>12720.69</v>
      </c>
      <c r="P19" s="311">
        <v>12647.61</v>
      </c>
      <c r="Q19" s="311">
        <v>12647.61</v>
      </c>
      <c r="R19" s="311">
        <v>12592.12</v>
      </c>
      <c r="S19" s="311">
        <v>12552.45</v>
      </c>
      <c r="T19" s="311">
        <v>12672.16</v>
      </c>
      <c r="U19" s="311">
        <v>13973</v>
      </c>
      <c r="V19" s="311">
        <v>13718.97</v>
      </c>
      <c r="W19" s="311">
        <v>14358.13</v>
      </c>
      <c r="X19" s="311">
        <v>12816.53</v>
      </c>
      <c r="Y19" s="311">
        <v>13353.25</v>
      </c>
      <c r="Z19" s="311">
        <v>13353.25</v>
      </c>
      <c r="AA19" s="320">
        <f>SUM(O19:Z19)</f>
        <v>157405.77000000002</v>
      </c>
      <c r="AB19" s="312">
        <f>AA19/N19</f>
        <v>0.9999731275014295</v>
      </c>
      <c r="AC19" s="829"/>
    </row>
    <row r="20" spans="1:29" ht="14.25" customHeight="1">
      <c r="A20" s="290"/>
      <c r="B20" s="319"/>
      <c r="C20" s="309" t="s">
        <v>355</v>
      </c>
      <c r="D20" s="310" t="s">
        <v>356</v>
      </c>
      <c r="E20" s="320">
        <v>142000</v>
      </c>
      <c r="F20" s="320">
        <v>-3000</v>
      </c>
      <c r="G20" s="320"/>
      <c r="H20" s="320"/>
      <c r="I20" s="320">
        <v>10000</v>
      </c>
      <c r="J20" s="320"/>
      <c r="K20" s="320">
        <v>11000</v>
      </c>
      <c r="L20" s="320"/>
      <c r="M20" s="320">
        <v>8450</v>
      </c>
      <c r="N20" s="311">
        <f t="shared" si="11"/>
        <v>168450</v>
      </c>
      <c r="O20" s="311">
        <v>20356.25</v>
      </c>
      <c r="P20" s="311">
        <v>16656.75</v>
      </c>
      <c r="Q20" s="311">
        <v>17574.95</v>
      </c>
      <c r="R20" s="311">
        <v>16126.63</v>
      </c>
      <c r="S20" s="311">
        <v>14058.77</v>
      </c>
      <c r="T20" s="311">
        <v>11477.68</v>
      </c>
      <c r="U20" s="311">
        <v>12280.26</v>
      </c>
      <c r="V20" s="311">
        <v>11203.35</v>
      </c>
      <c r="W20" s="311">
        <v>11365.27</v>
      </c>
      <c r="X20" s="311">
        <v>10312.96</v>
      </c>
      <c r="Y20" s="311">
        <v>11885.55</v>
      </c>
      <c r="Z20" s="311">
        <v>15141.66</v>
      </c>
      <c r="AA20" s="320">
        <f t="shared" si="5"/>
        <v>168440.08</v>
      </c>
      <c r="AB20" s="312">
        <f t="shared" si="2"/>
        <v>0.9999411101216977</v>
      </c>
      <c r="AC20" s="829"/>
    </row>
    <row r="21" spans="1:29" ht="14.25" customHeight="1">
      <c r="A21" s="290"/>
      <c r="B21" s="319"/>
      <c r="C21" s="309" t="s">
        <v>122</v>
      </c>
      <c r="D21" s="310" t="s">
        <v>123</v>
      </c>
      <c r="E21" s="311">
        <v>100</v>
      </c>
      <c r="F21" s="311"/>
      <c r="G21" s="311"/>
      <c r="H21" s="311"/>
      <c r="I21" s="311"/>
      <c r="J21" s="311"/>
      <c r="K21" s="311"/>
      <c r="L21" s="311"/>
      <c r="M21" s="311">
        <v>-55</v>
      </c>
      <c r="N21" s="311">
        <f t="shared" si="11"/>
        <v>45</v>
      </c>
      <c r="O21" s="311">
        <v>0</v>
      </c>
      <c r="P21" s="311">
        <v>0</v>
      </c>
      <c r="Q21" s="311">
        <v>0</v>
      </c>
      <c r="R21" s="311">
        <v>0</v>
      </c>
      <c r="S21" s="311">
        <v>0</v>
      </c>
      <c r="T21" s="311">
        <v>0</v>
      </c>
      <c r="U21" s="311"/>
      <c r="V21" s="311">
        <v>13.74</v>
      </c>
      <c r="W21" s="311"/>
      <c r="X21" s="311">
        <f>4.85+4.16</f>
        <v>9.01</v>
      </c>
      <c r="Y21" s="311">
        <v>21.97</v>
      </c>
      <c r="Z21" s="311">
        <v>9.92</v>
      </c>
      <c r="AA21" s="320">
        <f t="shared" si="5"/>
        <v>54.64</v>
      </c>
      <c r="AB21" s="312">
        <f t="shared" si="2"/>
        <v>1.2142222222222223</v>
      </c>
      <c r="AC21" s="829"/>
    </row>
    <row r="22" spans="1:29" ht="14.25" customHeight="1">
      <c r="A22" s="290"/>
      <c r="B22" s="319"/>
      <c r="C22" s="309" t="s">
        <v>96</v>
      </c>
      <c r="D22" s="310" t="s">
        <v>433</v>
      </c>
      <c r="E22" s="311">
        <v>1000</v>
      </c>
      <c r="F22" s="311">
        <v>3000</v>
      </c>
      <c r="G22" s="311"/>
      <c r="H22" s="311"/>
      <c r="I22" s="311">
        <v>2000</v>
      </c>
      <c r="J22" s="311">
        <v>-50</v>
      </c>
      <c r="K22" s="311"/>
      <c r="L22" s="311"/>
      <c r="M22" s="311">
        <v>95</v>
      </c>
      <c r="N22" s="311">
        <f t="shared" si="11"/>
        <v>6045</v>
      </c>
      <c r="O22" s="311">
        <v>800.52</v>
      </c>
      <c r="P22" s="311">
        <v>415.46</v>
      </c>
      <c r="Q22" s="311">
        <v>415.4</v>
      </c>
      <c r="R22" s="311">
        <v>574.32</v>
      </c>
      <c r="S22" s="311">
        <v>615.21</v>
      </c>
      <c r="T22" s="311">
        <v>415.46</v>
      </c>
      <c r="U22" s="311">
        <v>696.29</v>
      </c>
      <c r="V22" s="311">
        <v>415.46</v>
      </c>
      <c r="W22" s="311">
        <v>415.46</v>
      </c>
      <c r="X22" s="311">
        <v>415.4</v>
      </c>
      <c r="Y22" s="311">
        <v>415.4</v>
      </c>
      <c r="Z22" s="311">
        <v>449.82</v>
      </c>
      <c r="AA22" s="320">
        <f t="shared" si="5"/>
        <v>6044.199999999999</v>
      </c>
      <c r="AB22" s="312">
        <f t="shared" si="2"/>
        <v>0.9998676592224978</v>
      </c>
      <c r="AC22" s="829"/>
    </row>
    <row r="23" spans="1:29" ht="14.25" customHeight="1">
      <c r="A23" s="290"/>
      <c r="B23" s="319"/>
      <c r="C23" s="309">
        <v>2650</v>
      </c>
      <c r="D23" s="310" t="s">
        <v>431</v>
      </c>
      <c r="E23" s="311">
        <v>140000</v>
      </c>
      <c r="F23" s="311">
        <v>-140000</v>
      </c>
      <c r="G23" s="311"/>
      <c r="H23" s="311"/>
      <c r="I23" s="311"/>
      <c r="J23" s="311"/>
      <c r="K23" s="311"/>
      <c r="L23" s="311"/>
      <c r="M23" s="311"/>
      <c r="N23" s="311">
        <f t="shared" si="11"/>
        <v>0</v>
      </c>
      <c r="O23" s="311"/>
      <c r="P23" s="311">
        <v>0</v>
      </c>
      <c r="Q23" s="311">
        <v>0</v>
      </c>
      <c r="R23" s="311">
        <v>0</v>
      </c>
      <c r="S23" s="311"/>
      <c r="T23" s="311"/>
      <c r="U23" s="311"/>
      <c r="V23" s="311"/>
      <c r="W23" s="311"/>
      <c r="X23" s="311"/>
      <c r="Y23" s="311"/>
      <c r="Z23" s="311"/>
      <c r="AA23" s="320">
        <f t="shared" si="5"/>
        <v>0</v>
      </c>
      <c r="AB23" s="312"/>
      <c r="AC23" s="829"/>
    </row>
    <row r="24" spans="1:29" ht="20.25" customHeight="1">
      <c r="A24" s="297">
        <v>900</v>
      </c>
      <c r="B24" s="297"/>
      <c r="C24" s="298"/>
      <c r="D24" s="299" t="s">
        <v>1159</v>
      </c>
      <c r="E24" s="300">
        <f aca="true" t="shared" si="12" ref="E24:AA24">SUM(E25+E30+E35+E37)</f>
        <v>1124936</v>
      </c>
      <c r="F24" s="300">
        <f t="shared" si="12"/>
        <v>0</v>
      </c>
      <c r="G24" s="300">
        <f t="shared" si="12"/>
        <v>0</v>
      </c>
      <c r="H24" s="300">
        <f t="shared" si="12"/>
        <v>0</v>
      </c>
      <c r="I24" s="300">
        <f t="shared" si="12"/>
        <v>380100</v>
      </c>
      <c r="J24" s="300">
        <f t="shared" si="12"/>
        <v>0</v>
      </c>
      <c r="K24" s="300">
        <f t="shared" si="12"/>
        <v>65264</v>
      </c>
      <c r="L24" s="300">
        <f t="shared" si="12"/>
        <v>199100</v>
      </c>
      <c r="M24" s="300">
        <f t="shared" si="12"/>
        <v>133850</v>
      </c>
      <c r="N24" s="300">
        <f t="shared" si="12"/>
        <v>1903250</v>
      </c>
      <c r="O24" s="300">
        <f t="shared" si="12"/>
        <v>98344.31</v>
      </c>
      <c r="P24" s="300">
        <f t="shared" si="12"/>
        <v>78478.47</v>
      </c>
      <c r="Q24" s="300">
        <f t="shared" si="12"/>
        <v>100608.41</v>
      </c>
      <c r="R24" s="300">
        <f t="shared" si="12"/>
        <v>114504.32</v>
      </c>
      <c r="S24" s="300">
        <f t="shared" si="12"/>
        <v>117692.23000000001</v>
      </c>
      <c r="T24" s="300">
        <f t="shared" si="12"/>
        <v>187247.47000000003</v>
      </c>
      <c r="U24" s="300">
        <f t="shared" si="12"/>
        <v>113286.2</v>
      </c>
      <c r="V24" s="300">
        <f t="shared" si="12"/>
        <v>199099.77999999997</v>
      </c>
      <c r="W24" s="300">
        <f t="shared" si="12"/>
        <v>157185.44</v>
      </c>
      <c r="X24" s="300">
        <f t="shared" si="12"/>
        <v>178203.7</v>
      </c>
      <c r="Y24" s="300">
        <f t="shared" si="12"/>
        <v>328352</v>
      </c>
      <c r="Z24" s="300">
        <f t="shared" si="12"/>
        <v>230593.2</v>
      </c>
      <c r="AA24" s="300">
        <f t="shared" si="12"/>
        <v>1903595.53</v>
      </c>
      <c r="AB24" s="301">
        <f aca="true" t="shared" si="13" ref="AB24:AB43">AA24/N24</f>
        <v>1.0001815473532116</v>
      </c>
      <c r="AC24" s="315"/>
    </row>
    <row r="25" spans="1:29" ht="14.25" customHeight="1">
      <c r="A25" s="290"/>
      <c r="B25" s="290">
        <v>90001</v>
      </c>
      <c r="C25" s="304"/>
      <c r="D25" s="305" t="s">
        <v>699</v>
      </c>
      <c r="E25" s="306">
        <f>SUM(E26:E29)</f>
        <v>392100</v>
      </c>
      <c r="F25" s="306">
        <f aca="true" t="shared" si="14" ref="F25:AA25">SUM(F26:F29)</f>
        <v>0</v>
      </c>
      <c r="G25" s="306">
        <f t="shared" si="14"/>
        <v>0</v>
      </c>
      <c r="H25" s="306">
        <f t="shared" si="14"/>
        <v>0</v>
      </c>
      <c r="I25" s="306">
        <f t="shared" si="14"/>
        <v>27000</v>
      </c>
      <c r="J25" s="306">
        <f t="shared" si="14"/>
        <v>0</v>
      </c>
      <c r="K25" s="306">
        <f t="shared" si="14"/>
        <v>8000</v>
      </c>
      <c r="L25" s="306">
        <f t="shared" si="14"/>
        <v>20000</v>
      </c>
      <c r="M25" s="306">
        <f t="shared" si="14"/>
        <v>27600</v>
      </c>
      <c r="N25" s="306">
        <f t="shared" si="14"/>
        <v>474700</v>
      </c>
      <c r="O25" s="306">
        <f t="shared" si="14"/>
        <v>34632.58</v>
      </c>
      <c r="P25" s="306">
        <f t="shared" si="14"/>
        <v>36449.59</v>
      </c>
      <c r="Q25" s="306">
        <f t="shared" si="14"/>
        <v>46227.06</v>
      </c>
      <c r="R25" s="306">
        <f t="shared" si="14"/>
        <v>40165.55</v>
      </c>
      <c r="S25" s="306">
        <f t="shared" si="14"/>
        <v>43530.26</v>
      </c>
      <c r="T25" s="306">
        <f t="shared" si="14"/>
        <v>32352</v>
      </c>
      <c r="U25" s="306">
        <f t="shared" si="14"/>
        <v>35626.57</v>
      </c>
      <c r="V25" s="306">
        <f t="shared" si="14"/>
        <v>34752.14</v>
      </c>
      <c r="W25" s="306">
        <f t="shared" si="14"/>
        <v>43012.29</v>
      </c>
      <c r="X25" s="306">
        <f t="shared" si="14"/>
        <v>31820.07</v>
      </c>
      <c r="Y25" s="306">
        <f t="shared" si="14"/>
        <v>31751.699999999997</v>
      </c>
      <c r="Z25" s="306">
        <f t="shared" si="14"/>
        <v>63648.3</v>
      </c>
      <c r="AA25" s="318">
        <f t="shared" si="14"/>
        <v>473968.11</v>
      </c>
      <c r="AB25" s="307">
        <f t="shared" si="13"/>
        <v>0.9984582051822203</v>
      </c>
      <c r="AC25" s="828" t="s">
        <v>647</v>
      </c>
    </row>
    <row r="26" spans="1:29" ht="20.25" customHeight="1">
      <c r="A26" s="290"/>
      <c r="B26" s="290"/>
      <c r="C26" s="309" t="s">
        <v>959</v>
      </c>
      <c r="D26" s="310" t="s">
        <v>960</v>
      </c>
      <c r="E26" s="311"/>
      <c r="F26" s="311"/>
      <c r="G26" s="311"/>
      <c r="H26" s="311"/>
      <c r="I26" s="311"/>
      <c r="J26" s="311">
        <v>5000</v>
      </c>
      <c r="K26" s="311">
        <v>1000</v>
      </c>
      <c r="L26" s="311"/>
      <c r="M26" s="311">
        <v>3200</v>
      </c>
      <c r="N26" s="311">
        <f>SUM(E26:M26)</f>
        <v>9200</v>
      </c>
      <c r="O26" s="311"/>
      <c r="P26" s="311"/>
      <c r="Q26" s="311"/>
      <c r="R26" s="311"/>
      <c r="S26" s="311"/>
      <c r="T26" s="311"/>
      <c r="U26" s="311"/>
      <c r="V26" s="311">
        <v>1542</v>
      </c>
      <c r="W26" s="311">
        <v>3084</v>
      </c>
      <c r="X26" s="311">
        <v>560.75</v>
      </c>
      <c r="Y26" s="311">
        <v>1728.92</v>
      </c>
      <c r="Z26" s="320">
        <v>560.75</v>
      </c>
      <c r="AA26" s="320">
        <f t="shared" si="5"/>
        <v>7476.42</v>
      </c>
      <c r="AB26" s="312">
        <f t="shared" si="13"/>
        <v>0.8126543478260869</v>
      </c>
      <c r="AC26" s="830"/>
    </row>
    <row r="27" spans="1:29" ht="18" customHeight="1">
      <c r="A27" s="290"/>
      <c r="B27" s="290"/>
      <c r="C27" s="309" t="s">
        <v>355</v>
      </c>
      <c r="D27" s="310" t="s">
        <v>356</v>
      </c>
      <c r="E27" s="311">
        <v>320000</v>
      </c>
      <c r="F27" s="311"/>
      <c r="G27" s="311"/>
      <c r="H27" s="311"/>
      <c r="I27" s="311">
        <v>27000</v>
      </c>
      <c r="J27" s="311">
        <v>-5000</v>
      </c>
      <c r="K27" s="311">
        <v>7000</v>
      </c>
      <c r="L27" s="311">
        <v>20000</v>
      </c>
      <c r="M27" s="311">
        <v>-3200</v>
      </c>
      <c r="N27" s="311">
        <f>SUM(E27:M27)</f>
        <v>365800</v>
      </c>
      <c r="O27" s="311">
        <v>27623.23</v>
      </c>
      <c r="P27" s="311">
        <v>29907.53</v>
      </c>
      <c r="Q27" s="311">
        <v>27535.47</v>
      </c>
      <c r="R27" s="311">
        <v>30819.76</v>
      </c>
      <c r="S27" s="311">
        <v>34184.47</v>
      </c>
      <c r="T27" s="311">
        <v>32352</v>
      </c>
      <c r="U27" s="311">
        <v>35626.57</v>
      </c>
      <c r="V27" s="311">
        <v>33210.14</v>
      </c>
      <c r="W27" s="311">
        <v>30582.5</v>
      </c>
      <c r="X27" s="311">
        <v>31259.32</v>
      </c>
      <c r="Y27" s="311">
        <v>30022.78</v>
      </c>
      <c r="Z27" s="320">
        <v>30283.82</v>
      </c>
      <c r="AA27" s="320">
        <f>SUM(O27:Z27)</f>
        <v>373407.59</v>
      </c>
      <c r="AB27" s="312">
        <f>AA27/N27</f>
        <v>1.020797129579005</v>
      </c>
      <c r="AC27" s="830"/>
    </row>
    <row r="28" spans="1:29" ht="16.5" customHeight="1">
      <c r="A28" s="290"/>
      <c r="B28" s="319"/>
      <c r="C28" s="309" t="s">
        <v>122</v>
      </c>
      <c r="D28" s="310" t="s">
        <v>123</v>
      </c>
      <c r="E28" s="311">
        <v>100</v>
      </c>
      <c r="F28" s="311"/>
      <c r="G28" s="311"/>
      <c r="H28" s="311"/>
      <c r="I28" s="311"/>
      <c r="J28" s="311"/>
      <c r="K28" s="311"/>
      <c r="L28" s="311"/>
      <c r="M28" s="311"/>
      <c r="N28" s="311">
        <f>SUM(E28:M28)</f>
        <v>100</v>
      </c>
      <c r="O28" s="311">
        <v>0</v>
      </c>
      <c r="P28" s="311">
        <v>0</v>
      </c>
      <c r="Q28" s="311">
        <v>0</v>
      </c>
      <c r="R28" s="311">
        <v>0</v>
      </c>
      <c r="S28" s="311">
        <v>0</v>
      </c>
      <c r="T28" s="311">
        <v>0</v>
      </c>
      <c r="U28" s="311"/>
      <c r="V28" s="311"/>
      <c r="W28" s="311"/>
      <c r="X28" s="311"/>
      <c r="Y28" s="311"/>
      <c r="Z28" s="311"/>
      <c r="AA28" s="320">
        <f t="shared" si="5"/>
        <v>0</v>
      </c>
      <c r="AB28" s="312">
        <f t="shared" si="13"/>
        <v>0</v>
      </c>
      <c r="AC28" s="830"/>
    </row>
    <row r="29" spans="1:29" ht="19.5" customHeight="1">
      <c r="A29" s="290"/>
      <c r="B29" s="319"/>
      <c r="C29" s="309">
        <v>2650</v>
      </c>
      <c r="D29" s="310" t="s">
        <v>431</v>
      </c>
      <c r="E29" s="311">
        <v>72000</v>
      </c>
      <c r="F29" s="311"/>
      <c r="G29" s="311"/>
      <c r="H29" s="311"/>
      <c r="I29" s="311"/>
      <c r="J29" s="311"/>
      <c r="K29" s="311"/>
      <c r="L29" s="320"/>
      <c r="M29" s="320">
        <v>27600</v>
      </c>
      <c r="N29" s="311">
        <f>SUM(E29:M29)</f>
        <v>99600</v>
      </c>
      <c r="O29" s="311">
        <v>7009.35</v>
      </c>
      <c r="P29" s="311">
        <v>6542.06</v>
      </c>
      <c r="Q29" s="311">
        <v>18691.59</v>
      </c>
      <c r="R29" s="311">
        <v>9345.79</v>
      </c>
      <c r="S29" s="311">
        <v>9345.79</v>
      </c>
      <c r="T29" s="311">
        <v>0</v>
      </c>
      <c r="U29" s="311"/>
      <c r="V29" s="311"/>
      <c r="W29" s="311">
        <v>9345.79</v>
      </c>
      <c r="X29" s="311"/>
      <c r="Y29" s="311"/>
      <c r="Z29" s="311">
        <v>32803.73</v>
      </c>
      <c r="AA29" s="320">
        <f t="shared" si="5"/>
        <v>93084.1</v>
      </c>
      <c r="AB29" s="312">
        <f t="shared" si="13"/>
        <v>0.9345793172690764</v>
      </c>
      <c r="AC29" s="830"/>
    </row>
    <row r="30" spans="1:29" s="284" customFormat="1" ht="14.25" customHeight="1">
      <c r="A30" s="290"/>
      <c r="B30" s="290">
        <v>90003</v>
      </c>
      <c r="C30" s="316"/>
      <c r="D30" s="305" t="s">
        <v>434</v>
      </c>
      <c r="E30" s="306">
        <f>SUM(E31:E34)</f>
        <v>144050</v>
      </c>
      <c r="F30" s="306">
        <f aca="true" t="shared" si="15" ref="F30:AA30">SUM(F31:F34)</f>
        <v>0</v>
      </c>
      <c r="G30" s="306">
        <f t="shared" si="15"/>
        <v>0</v>
      </c>
      <c r="H30" s="306">
        <f t="shared" si="15"/>
        <v>0</v>
      </c>
      <c r="I30" s="306">
        <f t="shared" si="15"/>
        <v>14000</v>
      </c>
      <c r="J30" s="306">
        <f t="shared" si="15"/>
        <v>0</v>
      </c>
      <c r="K30" s="306">
        <f t="shared" si="15"/>
        <v>4050</v>
      </c>
      <c r="L30" s="306">
        <f t="shared" si="15"/>
        <v>16500</v>
      </c>
      <c r="M30" s="306">
        <f t="shared" si="15"/>
        <v>2160</v>
      </c>
      <c r="N30" s="306">
        <f t="shared" si="15"/>
        <v>180760</v>
      </c>
      <c r="O30" s="306">
        <f t="shared" si="15"/>
        <v>15730.34</v>
      </c>
      <c r="P30" s="306">
        <f t="shared" si="15"/>
        <v>11109.060000000001</v>
      </c>
      <c r="Q30" s="306">
        <f t="shared" si="15"/>
        <v>11000.029999999999</v>
      </c>
      <c r="R30" s="306">
        <f t="shared" si="15"/>
        <v>14247.380000000001</v>
      </c>
      <c r="S30" s="306">
        <f t="shared" si="15"/>
        <v>14628.01</v>
      </c>
      <c r="T30" s="306">
        <f t="shared" si="15"/>
        <v>13283.98</v>
      </c>
      <c r="U30" s="306">
        <f t="shared" si="15"/>
        <v>18455.19</v>
      </c>
      <c r="V30" s="306">
        <f t="shared" si="15"/>
        <v>16455.12</v>
      </c>
      <c r="W30" s="306">
        <f t="shared" si="15"/>
        <v>15473.789999999999</v>
      </c>
      <c r="X30" s="306">
        <f t="shared" si="15"/>
        <v>20847.91</v>
      </c>
      <c r="Y30" s="306">
        <f t="shared" si="15"/>
        <v>17042.059999999998</v>
      </c>
      <c r="Z30" s="306">
        <f t="shared" si="15"/>
        <v>12589.789999999999</v>
      </c>
      <c r="AA30" s="318">
        <f t="shared" si="15"/>
        <v>180862.65999999997</v>
      </c>
      <c r="AB30" s="307">
        <f t="shared" si="13"/>
        <v>1.0005679353839343</v>
      </c>
      <c r="AC30" s="828" t="s">
        <v>221</v>
      </c>
    </row>
    <row r="31" spans="1:29" ht="14.25" customHeight="1">
      <c r="A31" s="290"/>
      <c r="B31" s="319"/>
      <c r="C31" s="309" t="s">
        <v>959</v>
      </c>
      <c r="D31" s="310" t="s">
        <v>960</v>
      </c>
      <c r="E31" s="311"/>
      <c r="F31" s="311"/>
      <c r="G31" s="311"/>
      <c r="H31" s="311"/>
      <c r="I31" s="311"/>
      <c r="J31" s="311">
        <v>1000</v>
      </c>
      <c r="K31" s="311"/>
      <c r="L31" s="311">
        <v>500</v>
      </c>
      <c r="M31" s="311">
        <v>285</v>
      </c>
      <c r="N31" s="311">
        <f>SUM(E31:M31)</f>
        <v>1785</v>
      </c>
      <c r="O31" s="311"/>
      <c r="P31" s="311"/>
      <c r="Q31" s="311"/>
      <c r="R31" s="311"/>
      <c r="S31" s="311"/>
      <c r="T31" s="311"/>
      <c r="U31" s="311"/>
      <c r="V31" s="311">
        <v>710.68</v>
      </c>
      <c r="W31" s="311">
        <v>59.22</v>
      </c>
      <c r="X31" s="311">
        <v>515.52</v>
      </c>
      <c r="Y31" s="311">
        <v>361.34</v>
      </c>
      <c r="Z31" s="311">
        <v>232.99</v>
      </c>
      <c r="AA31" s="320">
        <f t="shared" si="5"/>
        <v>1879.75</v>
      </c>
      <c r="AB31" s="312">
        <f t="shared" si="13"/>
        <v>1.0530812324929972</v>
      </c>
      <c r="AC31" s="828"/>
    </row>
    <row r="32" spans="1:29" ht="14.25" customHeight="1">
      <c r="A32" s="290"/>
      <c r="B32" s="319"/>
      <c r="C32" s="309" t="s">
        <v>355</v>
      </c>
      <c r="D32" s="310" t="s">
        <v>356</v>
      </c>
      <c r="E32" s="311">
        <v>144000</v>
      </c>
      <c r="F32" s="311">
        <v>-5000</v>
      </c>
      <c r="G32" s="311"/>
      <c r="H32" s="311"/>
      <c r="I32" s="311">
        <v>12000</v>
      </c>
      <c r="J32" s="311"/>
      <c r="K32" s="311">
        <v>3900</v>
      </c>
      <c r="L32" s="311">
        <v>16000</v>
      </c>
      <c r="M32" s="311">
        <v>1985</v>
      </c>
      <c r="N32" s="311">
        <f>SUM(E32:M32)</f>
        <v>172885</v>
      </c>
      <c r="O32" s="311">
        <v>15589.19</v>
      </c>
      <c r="P32" s="311">
        <v>10217.94</v>
      </c>
      <c r="Q32" s="311">
        <v>10438.24</v>
      </c>
      <c r="R32" s="311">
        <v>13347.74</v>
      </c>
      <c r="S32" s="311">
        <v>14027.09</v>
      </c>
      <c r="T32" s="311">
        <v>12467.36</v>
      </c>
      <c r="U32" s="311">
        <v>17903.43</v>
      </c>
      <c r="V32" s="311">
        <v>15587.01</v>
      </c>
      <c r="W32" s="311">
        <v>15196.9</v>
      </c>
      <c r="X32" s="311">
        <v>19798.64</v>
      </c>
      <c r="Y32" s="311">
        <v>16219.28</v>
      </c>
      <c r="Z32" s="311">
        <v>12102.64</v>
      </c>
      <c r="AA32" s="320">
        <f>SUM(O32:Z32)</f>
        <v>172895.45999999996</v>
      </c>
      <c r="AB32" s="312">
        <f>AA32/N32</f>
        <v>1.0000605026462674</v>
      </c>
      <c r="AC32" s="828"/>
    </row>
    <row r="33" spans="1:29" ht="14.25" customHeight="1">
      <c r="A33" s="290"/>
      <c r="B33" s="319"/>
      <c r="C33" s="309" t="s">
        <v>122</v>
      </c>
      <c r="D33" s="310" t="s">
        <v>123</v>
      </c>
      <c r="E33" s="311">
        <v>50</v>
      </c>
      <c r="F33" s="311"/>
      <c r="G33" s="311"/>
      <c r="H33" s="311"/>
      <c r="I33" s="311"/>
      <c r="J33" s="311"/>
      <c r="K33" s="311">
        <v>150</v>
      </c>
      <c r="L33" s="311"/>
      <c r="M33" s="311">
        <v>15</v>
      </c>
      <c r="N33" s="311">
        <f>SUM(E33:M33)</f>
        <v>215</v>
      </c>
      <c r="O33" s="311">
        <v>0</v>
      </c>
      <c r="P33" s="311">
        <v>15.37</v>
      </c>
      <c r="Q33" s="311">
        <v>21.38</v>
      </c>
      <c r="R33" s="311">
        <v>4.36</v>
      </c>
      <c r="S33" s="311">
        <v>0</v>
      </c>
      <c r="T33" s="311">
        <v>2.41</v>
      </c>
      <c r="U33" s="311"/>
      <c r="V33" s="311">
        <v>2.46</v>
      </c>
      <c r="W33" s="311">
        <v>56.03</v>
      </c>
      <c r="X33" s="311">
        <v>47.73</v>
      </c>
      <c r="Y33" s="311">
        <v>45.03</v>
      </c>
      <c r="Z33" s="311">
        <v>18.21</v>
      </c>
      <c r="AA33" s="320">
        <f>SUM(O33:Z33)</f>
        <v>212.98</v>
      </c>
      <c r="AB33" s="312">
        <f t="shared" si="13"/>
        <v>0.9906046511627906</v>
      </c>
      <c r="AC33" s="828"/>
    </row>
    <row r="34" spans="1:29" ht="14.25" customHeight="1">
      <c r="A34" s="290"/>
      <c r="B34" s="319"/>
      <c r="C34" s="309" t="s">
        <v>96</v>
      </c>
      <c r="D34" s="310" t="s">
        <v>433</v>
      </c>
      <c r="E34" s="311"/>
      <c r="F34" s="311">
        <v>5000</v>
      </c>
      <c r="G34" s="311"/>
      <c r="H34" s="311"/>
      <c r="I34" s="311">
        <v>2000</v>
      </c>
      <c r="J34" s="311">
        <v>-1000</v>
      </c>
      <c r="K34" s="311"/>
      <c r="L34" s="311"/>
      <c r="M34" s="311">
        <v>-125</v>
      </c>
      <c r="N34" s="311">
        <f>SUM(E34:M34)</f>
        <v>5875</v>
      </c>
      <c r="O34" s="311">
        <v>141.15</v>
      </c>
      <c r="P34" s="311">
        <v>875.75</v>
      </c>
      <c r="Q34" s="311">
        <v>540.41</v>
      </c>
      <c r="R34" s="311">
        <v>895.28</v>
      </c>
      <c r="S34" s="311">
        <v>600.92</v>
      </c>
      <c r="T34" s="311">
        <v>814.21</v>
      </c>
      <c r="U34" s="311">
        <v>551.76</v>
      </c>
      <c r="V34" s="311">
        <v>154.97</v>
      </c>
      <c r="W34" s="311">
        <v>161.64</v>
      </c>
      <c r="X34" s="311">
        <v>486.02</v>
      </c>
      <c r="Y34" s="311">
        <v>416.41</v>
      </c>
      <c r="Z34" s="311">
        <f>217.73+18.22</f>
        <v>235.95</v>
      </c>
      <c r="AA34" s="320">
        <f t="shared" si="5"/>
        <v>5874.47</v>
      </c>
      <c r="AB34" s="312">
        <f t="shared" si="13"/>
        <v>0.9999097872340426</v>
      </c>
      <c r="AC34" s="828"/>
    </row>
    <row r="35" spans="1:29" s="284" customFormat="1" ht="15" customHeight="1">
      <c r="A35" s="290"/>
      <c r="B35" s="290">
        <v>90004</v>
      </c>
      <c r="C35" s="316"/>
      <c r="D35" s="305" t="s">
        <v>1039</v>
      </c>
      <c r="E35" s="306">
        <f aca="true" t="shared" si="16" ref="E35:AA35">SUM(E36)</f>
        <v>60000</v>
      </c>
      <c r="F35" s="306">
        <f t="shared" si="16"/>
        <v>0</v>
      </c>
      <c r="G35" s="306">
        <f t="shared" si="16"/>
        <v>0</v>
      </c>
      <c r="H35" s="306">
        <f t="shared" si="16"/>
        <v>0</v>
      </c>
      <c r="I35" s="306">
        <f t="shared" si="16"/>
        <v>0</v>
      </c>
      <c r="J35" s="306">
        <f t="shared" si="16"/>
        <v>0</v>
      </c>
      <c r="K35" s="306">
        <f t="shared" si="16"/>
        <v>0</v>
      </c>
      <c r="L35" s="306">
        <f t="shared" si="16"/>
        <v>0</v>
      </c>
      <c r="M35" s="306">
        <f t="shared" si="16"/>
        <v>0</v>
      </c>
      <c r="N35" s="306">
        <f t="shared" si="16"/>
        <v>60000</v>
      </c>
      <c r="O35" s="306">
        <f t="shared" si="16"/>
        <v>0</v>
      </c>
      <c r="P35" s="306">
        <f t="shared" si="16"/>
        <v>0</v>
      </c>
      <c r="Q35" s="306">
        <f t="shared" si="16"/>
        <v>2000</v>
      </c>
      <c r="R35" s="306">
        <f t="shared" si="16"/>
        <v>6000</v>
      </c>
      <c r="S35" s="306">
        <f t="shared" si="16"/>
        <v>10000</v>
      </c>
      <c r="T35" s="306">
        <f t="shared" si="16"/>
        <v>0</v>
      </c>
      <c r="U35" s="306">
        <f t="shared" si="16"/>
        <v>0</v>
      </c>
      <c r="V35" s="306">
        <f t="shared" si="16"/>
        <v>25000</v>
      </c>
      <c r="W35" s="306">
        <f t="shared" si="16"/>
        <v>16000</v>
      </c>
      <c r="X35" s="306">
        <f t="shared" si="16"/>
        <v>0</v>
      </c>
      <c r="Y35" s="306">
        <f t="shared" si="16"/>
        <v>0</v>
      </c>
      <c r="Z35" s="306">
        <f t="shared" si="16"/>
        <v>1000</v>
      </c>
      <c r="AA35" s="318">
        <f t="shared" si="16"/>
        <v>60000</v>
      </c>
      <c r="AB35" s="307">
        <f t="shared" si="13"/>
        <v>1</v>
      </c>
      <c r="AC35" s="828" t="s">
        <v>432</v>
      </c>
    </row>
    <row r="36" spans="1:29" ht="18.75" customHeight="1">
      <c r="A36" s="290"/>
      <c r="B36" s="319"/>
      <c r="C36" s="309">
        <f>C29</f>
        <v>2650</v>
      </c>
      <c r="D36" s="310" t="s">
        <v>431</v>
      </c>
      <c r="E36" s="311">
        <v>60000</v>
      </c>
      <c r="F36" s="311"/>
      <c r="G36" s="311"/>
      <c r="H36" s="311"/>
      <c r="I36" s="311"/>
      <c r="J36" s="311"/>
      <c r="K36" s="311"/>
      <c r="L36" s="311"/>
      <c r="M36" s="311"/>
      <c r="N36" s="311">
        <f>SUM(E36:M36)</f>
        <v>60000</v>
      </c>
      <c r="O36" s="311">
        <v>0</v>
      </c>
      <c r="P36" s="311">
        <v>0</v>
      </c>
      <c r="Q36" s="311">
        <v>2000</v>
      </c>
      <c r="R36" s="311">
        <v>6000</v>
      </c>
      <c r="S36" s="311">
        <v>10000</v>
      </c>
      <c r="T36" s="311">
        <v>0</v>
      </c>
      <c r="U36" s="311"/>
      <c r="V36" s="311">
        <v>25000</v>
      </c>
      <c r="W36" s="311">
        <v>16000</v>
      </c>
      <c r="X36" s="311"/>
      <c r="Y36" s="311"/>
      <c r="Z36" s="311">
        <v>1000</v>
      </c>
      <c r="AA36" s="320">
        <f t="shared" si="5"/>
        <v>60000</v>
      </c>
      <c r="AB36" s="312">
        <f t="shared" si="13"/>
        <v>1</v>
      </c>
      <c r="AC36" s="828"/>
    </row>
    <row r="37" spans="1:29" ht="66" customHeight="1">
      <c r="A37" s="290"/>
      <c r="B37" s="290">
        <v>90095</v>
      </c>
      <c r="C37" s="304"/>
      <c r="D37" s="305" t="s">
        <v>99</v>
      </c>
      <c r="E37" s="318">
        <f>SUM(E38:E42)</f>
        <v>528786</v>
      </c>
      <c r="F37" s="318">
        <f aca="true" t="shared" si="17" ref="F37:AA37">SUM(F38:F42)</f>
        <v>0</v>
      </c>
      <c r="G37" s="318">
        <f t="shared" si="17"/>
        <v>0</v>
      </c>
      <c r="H37" s="318">
        <f t="shared" si="17"/>
        <v>0</v>
      </c>
      <c r="I37" s="318">
        <f t="shared" si="17"/>
        <v>339100</v>
      </c>
      <c r="J37" s="318">
        <f t="shared" si="17"/>
        <v>0</v>
      </c>
      <c r="K37" s="318">
        <f t="shared" si="17"/>
        <v>53214</v>
      </c>
      <c r="L37" s="318">
        <f t="shared" si="17"/>
        <v>162600</v>
      </c>
      <c r="M37" s="318">
        <f t="shared" si="17"/>
        <v>104090</v>
      </c>
      <c r="N37" s="318">
        <f t="shared" si="17"/>
        <v>1187790</v>
      </c>
      <c r="O37" s="318">
        <f t="shared" si="17"/>
        <v>47981.39</v>
      </c>
      <c r="P37" s="318">
        <f t="shared" si="17"/>
        <v>30919.82</v>
      </c>
      <c r="Q37" s="318">
        <f t="shared" si="17"/>
        <v>41381.32000000001</v>
      </c>
      <c r="R37" s="318">
        <f t="shared" si="17"/>
        <v>54091.39</v>
      </c>
      <c r="S37" s="318">
        <f t="shared" si="17"/>
        <v>49533.96</v>
      </c>
      <c r="T37" s="318">
        <f t="shared" si="17"/>
        <v>141611.49000000002</v>
      </c>
      <c r="U37" s="318">
        <f t="shared" si="17"/>
        <v>59204.44</v>
      </c>
      <c r="V37" s="318">
        <f t="shared" si="17"/>
        <v>122892.51999999999</v>
      </c>
      <c r="W37" s="318">
        <f t="shared" si="17"/>
        <v>82699.36</v>
      </c>
      <c r="X37" s="318">
        <f t="shared" si="17"/>
        <v>125535.72</v>
      </c>
      <c r="Y37" s="318">
        <f t="shared" si="17"/>
        <v>279558.24</v>
      </c>
      <c r="Z37" s="318">
        <f t="shared" si="17"/>
        <v>153355.11000000002</v>
      </c>
      <c r="AA37" s="318">
        <f t="shared" si="17"/>
        <v>1188764.76</v>
      </c>
      <c r="AB37" s="307">
        <f t="shared" si="13"/>
        <v>1.0008206501149193</v>
      </c>
      <c r="AC37" s="831" t="s">
        <v>222</v>
      </c>
    </row>
    <row r="38" spans="1:29" ht="48.75" customHeight="1">
      <c r="A38" s="290"/>
      <c r="B38" s="319"/>
      <c r="C38" s="309" t="s">
        <v>959</v>
      </c>
      <c r="D38" s="310" t="s">
        <v>960</v>
      </c>
      <c r="E38" s="311"/>
      <c r="F38" s="311"/>
      <c r="G38" s="311"/>
      <c r="H38" s="311"/>
      <c r="I38" s="311"/>
      <c r="J38" s="311">
        <v>50</v>
      </c>
      <c r="K38" s="311"/>
      <c r="L38" s="311">
        <v>100</v>
      </c>
      <c r="M38" s="311">
        <v>25</v>
      </c>
      <c r="N38" s="311">
        <f>SUM(E38:M38)</f>
        <v>175</v>
      </c>
      <c r="O38" s="311"/>
      <c r="P38" s="311"/>
      <c r="Q38" s="311"/>
      <c r="R38" s="311"/>
      <c r="S38" s="311"/>
      <c r="T38" s="311"/>
      <c r="U38" s="311"/>
      <c r="V38" s="311">
        <v>18</v>
      </c>
      <c r="W38" s="311">
        <v>24</v>
      </c>
      <c r="X38" s="311">
        <v>18</v>
      </c>
      <c r="Y38" s="311">
        <v>78</v>
      </c>
      <c r="Z38" s="311">
        <v>42</v>
      </c>
      <c r="AA38" s="320">
        <f t="shared" si="5"/>
        <v>180</v>
      </c>
      <c r="AB38" s="312">
        <f t="shared" si="13"/>
        <v>1.0285714285714285</v>
      </c>
      <c r="AC38" s="832"/>
    </row>
    <row r="39" spans="1:29" ht="50.25" customHeight="1">
      <c r="A39" s="290"/>
      <c r="B39" s="319"/>
      <c r="C39" s="309" t="s">
        <v>355</v>
      </c>
      <c r="D39" s="310" t="s">
        <v>356</v>
      </c>
      <c r="E39" s="311">
        <v>503736</v>
      </c>
      <c r="F39" s="311">
        <v>-200</v>
      </c>
      <c r="G39" s="311"/>
      <c r="H39" s="311"/>
      <c r="I39" s="311">
        <v>95000</v>
      </c>
      <c r="J39" s="311">
        <v>-100</v>
      </c>
      <c r="K39" s="311">
        <f>51164-600-500</f>
        <v>50064</v>
      </c>
      <c r="L39" s="311">
        <v>150000</v>
      </c>
      <c r="M39" s="311">
        <v>103900</v>
      </c>
      <c r="N39" s="311">
        <f>SUM(E39:M39)</f>
        <v>902400</v>
      </c>
      <c r="O39" s="311">
        <v>47163.39</v>
      </c>
      <c r="P39" s="311">
        <v>30366.62</v>
      </c>
      <c r="Q39" s="311">
        <v>40606.16</v>
      </c>
      <c r="R39" s="311">
        <v>47980.85</v>
      </c>
      <c r="S39" s="311">
        <v>48639.56</v>
      </c>
      <c r="T39" s="311">
        <v>140233.76</v>
      </c>
      <c r="U39" s="311">
        <v>51339.96</v>
      </c>
      <c r="V39" s="311">
        <v>43717.06</v>
      </c>
      <c r="W39" s="311">
        <v>79735.74</v>
      </c>
      <c r="X39" s="311">
        <v>113678.82</v>
      </c>
      <c r="Y39" s="311">
        <v>106706.29</v>
      </c>
      <c r="Z39" s="311">
        <v>152278.63</v>
      </c>
      <c r="AA39" s="320">
        <f>SUM(O39:Z39)</f>
        <v>902446.84</v>
      </c>
      <c r="AB39" s="312">
        <f>AA39/N39</f>
        <v>1.0000519060283688</v>
      </c>
      <c r="AC39" s="832"/>
    </row>
    <row r="40" spans="1:29" ht="35.25" customHeight="1">
      <c r="A40" s="290"/>
      <c r="B40" s="319"/>
      <c r="C40" s="309" t="str">
        <f>C28</f>
        <v>0920</v>
      </c>
      <c r="D40" s="310" t="s">
        <v>123</v>
      </c>
      <c r="E40" s="311">
        <v>50</v>
      </c>
      <c r="F40" s="311">
        <v>200</v>
      </c>
      <c r="G40" s="311"/>
      <c r="H40" s="311"/>
      <c r="I40" s="311">
        <v>100</v>
      </c>
      <c r="J40" s="311">
        <v>50</v>
      </c>
      <c r="K40" s="311">
        <v>600</v>
      </c>
      <c r="L40" s="311"/>
      <c r="M40" s="311">
        <v>-235</v>
      </c>
      <c r="N40" s="311">
        <f>SUM(E40:M40)</f>
        <v>765</v>
      </c>
      <c r="O40" s="311">
        <v>0</v>
      </c>
      <c r="P40" s="311">
        <v>0</v>
      </c>
      <c r="Q40" s="311">
        <v>160.54</v>
      </c>
      <c r="R40" s="311">
        <v>0</v>
      </c>
      <c r="S40" s="311">
        <v>0</v>
      </c>
      <c r="T40" s="311">
        <v>146.88</v>
      </c>
      <c r="U40" s="311"/>
      <c r="V40" s="311">
        <v>36.52</v>
      </c>
      <c r="W40" s="311">
        <v>272.97</v>
      </c>
      <c r="X40" s="311">
        <v>11.98</v>
      </c>
      <c r="Y40" s="311">
        <v>60.36</v>
      </c>
      <c r="Z40" s="311">
        <v>926.51</v>
      </c>
      <c r="AA40" s="320">
        <f t="shared" si="5"/>
        <v>1615.76</v>
      </c>
      <c r="AB40" s="312">
        <f t="shared" si="13"/>
        <v>2.1121045751633987</v>
      </c>
      <c r="AC40" s="832"/>
    </row>
    <row r="41" spans="1:29" ht="23.25" customHeight="1">
      <c r="A41" s="290"/>
      <c r="B41" s="319"/>
      <c r="C41" s="309" t="s">
        <v>96</v>
      </c>
      <c r="D41" s="310" t="s">
        <v>97</v>
      </c>
      <c r="E41" s="311">
        <v>25000</v>
      </c>
      <c r="F41" s="311"/>
      <c r="G41" s="311"/>
      <c r="H41" s="311"/>
      <c r="I41" s="311"/>
      <c r="J41" s="311"/>
      <c r="K41" s="311">
        <v>2550</v>
      </c>
      <c r="L41" s="311">
        <v>12500</v>
      </c>
      <c r="M41" s="311">
        <v>400</v>
      </c>
      <c r="N41" s="311">
        <f>SUM(E41:M41)</f>
        <v>40450</v>
      </c>
      <c r="O41" s="311">
        <v>818</v>
      </c>
      <c r="P41" s="311">
        <v>553.2</v>
      </c>
      <c r="Q41" s="311">
        <v>614.62</v>
      </c>
      <c r="R41" s="311">
        <v>6110.54</v>
      </c>
      <c r="S41" s="311">
        <v>894.4</v>
      </c>
      <c r="T41" s="311">
        <f>430.85+800</f>
        <v>1230.85</v>
      </c>
      <c r="U41" s="311">
        <v>7864.48</v>
      </c>
      <c r="V41" s="311">
        <v>5920.94</v>
      </c>
      <c r="W41" s="311">
        <v>2666.65</v>
      </c>
      <c r="X41" s="311">
        <v>11826.92</v>
      </c>
      <c r="Y41" s="311">
        <v>1913.59</v>
      </c>
      <c r="Z41" s="311">
        <v>107.97</v>
      </c>
      <c r="AA41" s="320">
        <f>SUM(O41:Z41)</f>
        <v>40522.159999999996</v>
      </c>
      <c r="AB41" s="312">
        <f>AA41/N41</f>
        <v>1.001783930778739</v>
      </c>
      <c r="AC41" s="833"/>
    </row>
    <row r="42" spans="1:29" ht="56.25" customHeight="1">
      <c r="A42" s="290"/>
      <c r="B42" s="319"/>
      <c r="C42" s="309">
        <v>6210</v>
      </c>
      <c r="D42" s="310" t="s">
        <v>395</v>
      </c>
      <c r="E42" s="311"/>
      <c r="F42" s="311"/>
      <c r="G42" s="311"/>
      <c r="H42" s="311"/>
      <c r="I42" s="311">
        <f>73200+170800</f>
        <v>244000</v>
      </c>
      <c r="J42" s="311"/>
      <c r="K42" s="311"/>
      <c r="L42" s="311"/>
      <c r="M42" s="311"/>
      <c r="N42" s="311">
        <f>SUM(E42:M42)</f>
        <v>244000</v>
      </c>
      <c r="O42" s="311"/>
      <c r="P42" s="311"/>
      <c r="Q42" s="311"/>
      <c r="R42" s="311"/>
      <c r="S42" s="311"/>
      <c r="T42" s="311"/>
      <c r="U42" s="311"/>
      <c r="V42" s="311">
        <v>73200</v>
      </c>
      <c r="W42" s="311"/>
      <c r="X42" s="311"/>
      <c r="Y42" s="311">
        <v>170800</v>
      </c>
      <c r="Z42" s="311"/>
      <c r="AA42" s="320">
        <f t="shared" si="5"/>
        <v>244000</v>
      </c>
      <c r="AB42" s="312">
        <f t="shared" si="13"/>
        <v>1</v>
      </c>
      <c r="AC42" s="708" t="s">
        <v>223</v>
      </c>
    </row>
    <row r="43" spans="1:29" ht="18" customHeight="1">
      <c r="A43" s="834" t="s">
        <v>1176</v>
      </c>
      <c r="B43" s="834"/>
      <c r="C43" s="834"/>
      <c r="D43" s="834"/>
      <c r="E43" s="293">
        <f aca="true" t="shared" si="18" ref="E43:Z43">E24+E16+E13+E5</f>
        <v>2187121</v>
      </c>
      <c r="F43" s="293">
        <f t="shared" si="18"/>
        <v>0</v>
      </c>
      <c r="G43" s="293">
        <f t="shared" si="18"/>
        <v>0</v>
      </c>
      <c r="H43" s="293">
        <f t="shared" si="18"/>
        <v>16470</v>
      </c>
      <c r="I43" s="293">
        <f t="shared" si="18"/>
        <v>433100</v>
      </c>
      <c r="J43" s="293">
        <f t="shared" si="18"/>
        <v>0</v>
      </c>
      <c r="K43" s="293">
        <f t="shared" si="18"/>
        <v>113309</v>
      </c>
      <c r="L43" s="293">
        <f t="shared" si="18"/>
        <v>261100</v>
      </c>
      <c r="M43" s="293">
        <f t="shared" si="18"/>
        <v>154360</v>
      </c>
      <c r="N43" s="293">
        <f t="shared" si="18"/>
        <v>3165460</v>
      </c>
      <c r="O43" s="293">
        <f t="shared" si="18"/>
        <v>206134.71999999997</v>
      </c>
      <c r="P43" s="293">
        <f t="shared" si="18"/>
        <v>178177.38</v>
      </c>
      <c r="Q43" s="293">
        <f t="shared" si="18"/>
        <v>210885.57</v>
      </c>
      <c r="R43" s="293">
        <f t="shared" si="18"/>
        <v>221425.81</v>
      </c>
      <c r="S43" s="293">
        <f t="shared" si="18"/>
        <v>231895.66</v>
      </c>
      <c r="T43" s="293">
        <f t="shared" si="18"/>
        <v>273351.39</v>
      </c>
      <c r="U43" s="293">
        <f t="shared" si="18"/>
        <v>205131.86000000002</v>
      </c>
      <c r="V43" s="293">
        <f t="shared" si="18"/>
        <v>309239.95999999996</v>
      </c>
      <c r="W43" s="293">
        <f t="shared" si="18"/>
        <v>267887.2</v>
      </c>
      <c r="X43" s="293">
        <f t="shared" si="18"/>
        <v>268080.26</v>
      </c>
      <c r="Y43" s="293">
        <f t="shared" si="18"/>
        <v>428045.52999999997</v>
      </c>
      <c r="Z43" s="293">
        <f t="shared" si="18"/>
        <v>353071.0460747663</v>
      </c>
      <c r="AA43" s="293">
        <f>AA24+AA16+AA13+AA5</f>
        <v>3153326.3860747665</v>
      </c>
      <c r="AB43" s="321">
        <f t="shared" si="13"/>
        <v>0.9961668718210833</v>
      </c>
      <c r="AC43" s="322"/>
    </row>
    <row r="44" spans="1:29" ht="12.75">
      <c r="A44" s="323"/>
      <c r="B44" s="323"/>
      <c r="C44" s="324"/>
      <c r="D44" s="325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709"/>
      <c r="AB44" s="327"/>
      <c r="AC44" s="328"/>
    </row>
  </sheetData>
  <mergeCells count="8">
    <mergeCell ref="AC30:AC34"/>
    <mergeCell ref="AC35:AC36"/>
    <mergeCell ref="AC37:AC41"/>
    <mergeCell ref="A43:D43"/>
    <mergeCell ref="AC6:AC11"/>
    <mergeCell ref="AC14:AC15"/>
    <mergeCell ref="AC17:AC23"/>
    <mergeCell ref="AC25:AC29"/>
  </mergeCells>
  <printOptions horizontalCentered="1"/>
  <pageMargins left="0.17" right="0.15748031496062992" top="0.15748031496062992" bottom="0.15748031496062992" header="0.15748031496062992" footer="0.15748031496062992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1"/>
  </sheetPr>
  <dimension ref="A1:AC127"/>
  <sheetViews>
    <sheetView zoomScale="150" zoomScaleNormal="150" workbookViewId="0" topLeftCell="E112">
      <selection activeCell="A1" sqref="A1:AC120"/>
    </sheetView>
  </sheetViews>
  <sheetFormatPr defaultColWidth="9.140625" defaultRowHeight="12.75"/>
  <cols>
    <col min="1" max="1" width="4.7109375" style="24" customWidth="1"/>
    <col min="2" max="2" width="6.00390625" style="24" customWidth="1"/>
    <col min="3" max="3" width="4.421875" style="24" customWidth="1"/>
    <col min="4" max="4" width="28.140625" style="24" customWidth="1"/>
    <col min="5" max="5" width="12.7109375" style="281" customWidth="1"/>
    <col min="6" max="6" width="10.140625" style="281" hidden="1" customWidth="1"/>
    <col min="7" max="7" width="10.7109375" style="281" hidden="1" customWidth="1"/>
    <col min="8" max="8" width="10.140625" style="281" hidden="1" customWidth="1"/>
    <col min="9" max="9" width="10.7109375" style="281" hidden="1" customWidth="1"/>
    <col min="10" max="10" width="11.57421875" style="281" hidden="1" customWidth="1"/>
    <col min="11" max="11" width="10.7109375" style="701" hidden="1" customWidth="1"/>
    <col min="12" max="12" width="10.7109375" style="281" hidden="1" customWidth="1"/>
    <col min="13" max="13" width="9.57421875" style="281" hidden="1" customWidth="1"/>
    <col min="14" max="14" width="11.8515625" style="281" customWidth="1"/>
    <col min="15" max="26" width="9.57421875" style="281" hidden="1" customWidth="1"/>
    <col min="27" max="27" width="12.421875" style="281" customWidth="1"/>
    <col min="28" max="28" width="8.7109375" style="702" customWidth="1"/>
    <col min="29" max="29" width="39.421875" style="716" customWidth="1"/>
    <col min="30" max="16384" width="9.140625" style="24" customWidth="1"/>
  </cols>
  <sheetData>
    <row r="1" spans="14:29" ht="9" customHeight="1">
      <c r="N1" s="353"/>
      <c r="AC1" s="282" t="s">
        <v>521</v>
      </c>
    </row>
    <row r="2" spans="1:29" ht="15.75">
      <c r="A2" s="714" t="s">
        <v>224</v>
      </c>
      <c r="B2" s="711"/>
      <c r="C2" s="711"/>
      <c r="D2" s="711"/>
      <c r="E2" s="711"/>
      <c r="F2" s="711"/>
      <c r="G2" s="711"/>
      <c r="H2" s="711"/>
      <c r="I2" s="711"/>
      <c r="J2" s="711"/>
      <c r="K2" s="712"/>
      <c r="L2" s="711"/>
      <c r="M2" s="711"/>
      <c r="N2" s="711"/>
      <c r="O2" s="711"/>
      <c r="P2" s="711"/>
      <c r="Q2" s="711"/>
      <c r="R2" s="711"/>
      <c r="S2" s="711"/>
      <c r="T2" s="711"/>
      <c r="U2" s="711"/>
      <c r="V2" s="711"/>
      <c r="W2" s="711"/>
      <c r="X2" s="711"/>
      <c r="Y2" s="711"/>
      <c r="Z2" s="711"/>
      <c r="AA2" s="711"/>
      <c r="AB2" s="712"/>
      <c r="AC2" s="717"/>
    </row>
    <row r="3" spans="1:29" s="332" customFormat="1" ht="24.75" customHeight="1">
      <c r="A3" s="42" t="s">
        <v>435</v>
      </c>
      <c r="B3" s="42" t="s">
        <v>1190</v>
      </c>
      <c r="C3" s="42" t="s">
        <v>73</v>
      </c>
      <c r="D3" s="42" t="s">
        <v>74</v>
      </c>
      <c r="E3" s="329" t="s">
        <v>436</v>
      </c>
      <c r="F3" s="292" t="s">
        <v>423</v>
      </c>
      <c r="G3" s="292" t="s">
        <v>424</v>
      </c>
      <c r="H3" s="292" t="s">
        <v>212</v>
      </c>
      <c r="I3" s="292" t="s">
        <v>213</v>
      </c>
      <c r="J3" s="292" t="s">
        <v>214</v>
      </c>
      <c r="K3" s="329" t="s">
        <v>225</v>
      </c>
      <c r="L3" s="292" t="s">
        <v>226</v>
      </c>
      <c r="M3" s="292" t="s">
        <v>227</v>
      </c>
      <c r="N3" s="329" t="s">
        <v>425</v>
      </c>
      <c r="O3" s="329" t="s">
        <v>78</v>
      </c>
      <c r="P3" s="329" t="s">
        <v>79</v>
      </c>
      <c r="Q3" s="329" t="s">
        <v>80</v>
      </c>
      <c r="R3" s="329" t="s">
        <v>81</v>
      </c>
      <c r="S3" s="329" t="s">
        <v>82</v>
      </c>
      <c r="T3" s="329" t="s">
        <v>83</v>
      </c>
      <c r="U3" s="329" t="s">
        <v>84</v>
      </c>
      <c r="V3" s="329" t="s">
        <v>85</v>
      </c>
      <c r="W3" s="329" t="s">
        <v>86</v>
      </c>
      <c r="X3" s="329" t="s">
        <v>87</v>
      </c>
      <c r="Y3" s="329" t="s">
        <v>88</v>
      </c>
      <c r="Z3" s="329" t="s">
        <v>89</v>
      </c>
      <c r="AA3" s="329" t="s">
        <v>426</v>
      </c>
      <c r="AB3" s="330" t="s">
        <v>90</v>
      </c>
      <c r="AC3" s="331" t="s">
        <v>437</v>
      </c>
    </row>
    <row r="4" spans="1:29" s="338" customFormat="1" ht="25.5">
      <c r="A4" s="333">
        <v>400</v>
      </c>
      <c r="B4" s="334"/>
      <c r="C4" s="334"/>
      <c r="D4" s="335" t="s">
        <v>438</v>
      </c>
      <c r="E4" s="336">
        <f aca="true" t="shared" si="0" ref="E4:Z4">E5</f>
        <v>604885</v>
      </c>
      <c r="F4" s="336">
        <f t="shared" si="0"/>
        <v>0</v>
      </c>
      <c r="G4" s="336">
        <f t="shared" si="0"/>
        <v>0</v>
      </c>
      <c r="H4" s="336">
        <f t="shared" si="0"/>
        <v>16470</v>
      </c>
      <c r="I4" s="336">
        <f t="shared" si="0"/>
        <v>34000</v>
      </c>
      <c r="J4" s="336">
        <f t="shared" si="0"/>
        <v>0</v>
      </c>
      <c r="K4" s="336">
        <f t="shared" si="0"/>
        <v>35045</v>
      </c>
      <c r="L4" s="336">
        <f t="shared" si="0"/>
        <v>57000</v>
      </c>
      <c r="M4" s="336">
        <f t="shared" si="0"/>
        <v>8600</v>
      </c>
      <c r="N4" s="336">
        <f>N5</f>
        <v>756000</v>
      </c>
      <c r="O4" s="336">
        <f t="shared" si="0"/>
        <v>57781.73999999999</v>
      </c>
      <c r="P4" s="336">
        <f t="shared" si="0"/>
        <v>41816.8</v>
      </c>
      <c r="Q4" s="336">
        <f t="shared" si="0"/>
        <v>76136.59</v>
      </c>
      <c r="R4" s="336">
        <f t="shared" si="0"/>
        <v>46522.119999999995</v>
      </c>
      <c r="S4" s="336">
        <f t="shared" si="0"/>
        <v>46014.130000000005</v>
      </c>
      <c r="T4" s="336">
        <f t="shared" si="0"/>
        <v>93263.31</v>
      </c>
      <c r="U4" s="336">
        <f t="shared" si="0"/>
        <v>64513.729999999996</v>
      </c>
      <c r="V4" s="336">
        <f t="shared" si="0"/>
        <v>90994.03</v>
      </c>
      <c r="W4" s="336">
        <f t="shared" si="0"/>
        <v>59384.35999999999</v>
      </c>
      <c r="X4" s="336">
        <f t="shared" si="0"/>
        <v>52726.65</v>
      </c>
      <c r="Y4" s="336">
        <f t="shared" si="0"/>
        <v>71074.95</v>
      </c>
      <c r="Z4" s="336">
        <f t="shared" si="0"/>
        <v>55281.52</v>
      </c>
      <c r="AA4" s="336">
        <f>AA5</f>
        <v>755509.9300000002</v>
      </c>
      <c r="AB4" s="337">
        <f aca="true" t="shared" si="1" ref="AB4:AB30">AA4/N4</f>
        <v>0.9993517592592595</v>
      </c>
      <c r="AC4" s="718"/>
    </row>
    <row r="5" spans="1:29" ht="12.75">
      <c r="A5" s="339"/>
      <c r="B5" s="340">
        <v>40002</v>
      </c>
      <c r="C5" s="339"/>
      <c r="D5" s="341" t="s">
        <v>429</v>
      </c>
      <c r="E5" s="306">
        <f aca="true" t="shared" si="2" ref="E5:J5">SUM(E6:E23)</f>
        <v>604885</v>
      </c>
      <c r="F5" s="306">
        <f t="shared" si="2"/>
        <v>0</v>
      </c>
      <c r="G5" s="306">
        <f t="shared" si="2"/>
        <v>0</v>
      </c>
      <c r="H5" s="306">
        <f t="shared" si="2"/>
        <v>16470</v>
      </c>
      <c r="I5" s="306">
        <f t="shared" si="2"/>
        <v>34000</v>
      </c>
      <c r="J5" s="306">
        <f t="shared" si="2"/>
        <v>0</v>
      </c>
      <c r="K5" s="318">
        <f aca="true" t="shared" si="3" ref="K5:Z5">SUM(K6:K23)</f>
        <v>35045</v>
      </c>
      <c r="L5" s="306">
        <f>SUM(L6:L23)</f>
        <v>57000</v>
      </c>
      <c r="M5" s="306">
        <f>SUM(M6:M23)</f>
        <v>8600</v>
      </c>
      <c r="N5" s="306">
        <f>SUM(N6:N23)</f>
        <v>756000</v>
      </c>
      <c r="O5" s="306">
        <f t="shared" si="3"/>
        <v>57781.73999999999</v>
      </c>
      <c r="P5" s="306">
        <f t="shared" si="3"/>
        <v>41816.8</v>
      </c>
      <c r="Q5" s="306">
        <f t="shared" si="3"/>
        <v>76136.59</v>
      </c>
      <c r="R5" s="306">
        <f t="shared" si="3"/>
        <v>46522.119999999995</v>
      </c>
      <c r="S5" s="306">
        <f t="shared" si="3"/>
        <v>46014.130000000005</v>
      </c>
      <c r="T5" s="306">
        <f t="shared" si="3"/>
        <v>93263.31</v>
      </c>
      <c r="U5" s="306">
        <f t="shared" si="3"/>
        <v>64513.729999999996</v>
      </c>
      <c r="V5" s="306">
        <f>SUM(V6:V23)</f>
        <v>90994.03</v>
      </c>
      <c r="W5" s="306">
        <f t="shared" si="3"/>
        <v>59384.35999999999</v>
      </c>
      <c r="X5" s="306">
        <f t="shared" si="3"/>
        <v>52726.65</v>
      </c>
      <c r="Y5" s="306">
        <f t="shared" si="3"/>
        <v>71074.95</v>
      </c>
      <c r="Z5" s="306">
        <f t="shared" si="3"/>
        <v>55281.52</v>
      </c>
      <c r="AA5" s="306">
        <f>SUM(AA6:AA23)</f>
        <v>755509.9300000002</v>
      </c>
      <c r="AB5" s="713">
        <f>AA5/N5</f>
        <v>0.9993517592592595</v>
      </c>
      <c r="AC5" s="719" t="s">
        <v>439</v>
      </c>
    </row>
    <row r="6" spans="1:29" ht="32.25" customHeight="1">
      <c r="A6" s="42"/>
      <c r="B6" s="41"/>
      <c r="C6" s="48">
        <v>3020</v>
      </c>
      <c r="D6" s="49" t="s">
        <v>440</v>
      </c>
      <c r="E6" s="311">
        <v>12000</v>
      </c>
      <c r="F6" s="311"/>
      <c r="G6" s="311"/>
      <c r="H6" s="311"/>
      <c r="I6" s="311"/>
      <c r="J6" s="311">
        <v>-4000</v>
      </c>
      <c r="K6" s="320"/>
      <c r="L6" s="311"/>
      <c r="M6" s="311">
        <v>-282</v>
      </c>
      <c r="N6" s="311">
        <f>SUM(E6:M6)</f>
        <v>7718</v>
      </c>
      <c r="O6" s="311">
        <v>3160.23</v>
      </c>
      <c r="P6" s="311">
        <v>1705.08</v>
      </c>
      <c r="Q6" s="311">
        <v>230.97</v>
      </c>
      <c r="R6" s="311">
        <v>0</v>
      </c>
      <c r="S6" s="311">
        <v>0</v>
      </c>
      <c r="T6" s="311">
        <v>725.74</v>
      </c>
      <c r="U6" s="311">
        <v>350.3</v>
      </c>
      <c r="V6" s="311">
        <v>-579.94</v>
      </c>
      <c r="W6" s="311">
        <v>444.57</v>
      </c>
      <c r="X6" s="311">
        <v>0</v>
      </c>
      <c r="Y6" s="311">
        <v>1578.87</v>
      </c>
      <c r="Z6" s="311">
        <v>101.5</v>
      </c>
      <c r="AA6" s="311">
        <f aca="true" t="shared" si="4" ref="AA6:AA23">SUM(O6:Z6)</f>
        <v>7717.319999999999</v>
      </c>
      <c r="AB6" s="342">
        <f t="shared" si="1"/>
        <v>0.9999118942731275</v>
      </c>
      <c r="AC6" s="835" t="s">
        <v>441</v>
      </c>
    </row>
    <row r="7" spans="1:29" ht="25.5">
      <c r="A7" s="48"/>
      <c r="B7" s="47"/>
      <c r="C7" s="48">
        <v>4010</v>
      </c>
      <c r="D7" s="49" t="s">
        <v>524</v>
      </c>
      <c r="E7" s="311">
        <v>279250</v>
      </c>
      <c r="F7" s="311"/>
      <c r="G7" s="311"/>
      <c r="H7" s="311"/>
      <c r="I7" s="311"/>
      <c r="J7" s="311"/>
      <c r="K7" s="320"/>
      <c r="L7" s="311">
        <v>17000</v>
      </c>
      <c r="M7" s="311">
        <v>4982</v>
      </c>
      <c r="N7" s="311">
        <f aca="true" t="shared" si="5" ref="N7:N23">SUM(E7:M7)</f>
        <v>301232</v>
      </c>
      <c r="O7" s="311">
        <v>24313.7</v>
      </c>
      <c r="P7" s="311">
        <v>22897.44</v>
      </c>
      <c r="Q7" s="311">
        <v>22501.89</v>
      </c>
      <c r="R7" s="311">
        <v>27187.46</v>
      </c>
      <c r="S7" s="311">
        <v>22053.33</v>
      </c>
      <c r="T7" s="311">
        <v>22231.48</v>
      </c>
      <c r="U7" s="311">
        <v>25953</v>
      </c>
      <c r="V7" s="311">
        <v>24419</v>
      </c>
      <c r="W7" s="311">
        <v>23563</v>
      </c>
      <c r="X7" s="311">
        <v>23257.9</v>
      </c>
      <c r="Y7" s="311">
        <f>9728.62+23279+100</f>
        <v>33107.62</v>
      </c>
      <c r="Z7" s="311">
        <f>24745.75+5000</f>
        <v>29745.75</v>
      </c>
      <c r="AA7" s="311">
        <f t="shared" si="4"/>
        <v>301231.57</v>
      </c>
      <c r="AB7" s="342">
        <f t="shared" si="1"/>
        <v>0.9999985725288151</v>
      </c>
      <c r="AC7" s="836"/>
    </row>
    <row r="8" spans="1:29" ht="12.75">
      <c r="A8" s="48"/>
      <c r="B8" s="47"/>
      <c r="C8" s="48">
        <v>4040</v>
      </c>
      <c r="D8" s="49" t="s">
        <v>442</v>
      </c>
      <c r="E8" s="311">
        <v>21212</v>
      </c>
      <c r="F8" s="311">
        <v>-148</v>
      </c>
      <c r="G8" s="311"/>
      <c r="H8" s="311"/>
      <c r="I8" s="311"/>
      <c r="J8" s="311"/>
      <c r="K8" s="320"/>
      <c r="L8" s="311"/>
      <c r="M8" s="311"/>
      <c r="N8" s="311">
        <f t="shared" si="5"/>
        <v>21064</v>
      </c>
      <c r="O8" s="311">
        <v>0</v>
      </c>
      <c r="P8" s="311">
        <v>0</v>
      </c>
      <c r="Q8" s="311">
        <v>21063.37</v>
      </c>
      <c r="R8" s="311">
        <v>0</v>
      </c>
      <c r="S8" s="311">
        <v>0</v>
      </c>
      <c r="T8" s="311">
        <v>0</v>
      </c>
      <c r="U8" s="311"/>
      <c r="V8" s="311"/>
      <c r="W8" s="311"/>
      <c r="X8" s="311">
        <v>0</v>
      </c>
      <c r="Y8" s="311">
        <v>0</v>
      </c>
      <c r="Z8" s="311"/>
      <c r="AA8" s="311">
        <f t="shared" si="4"/>
        <v>21063.37</v>
      </c>
      <c r="AB8" s="342">
        <f t="shared" si="1"/>
        <v>0.9999700911507785</v>
      </c>
      <c r="AC8" s="836"/>
    </row>
    <row r="9" spans="1:29" ht="25.5">
      <c r="A9" s="48"/>
      <c r="B9" s="47"/>
      <c r="C9" s="48">
        <v>4110</v>
      </c>
      <c r="D9" s="49" t="s">
        <v>525</v>
      </c>
      <c r="E9" s="311">
        <v>52400</v>
      </c>
      <c r="F9" s="311"/>
      <c r="G9" s="311"/>
      <c r="H9" s="311"/>
      <c r="I9" s="311"/>
      <c r="J9" s="311"/>
      <c r="K9" s="320"/>
      <c r="L9" s="311">
        <v>1000</v>
      </c>
      <c r="M9" s="311">
        <v>-1058</v>
      </c>
      <c r="N9" s="311">
        <f t="shared" si="5"/>
        <v>52342</v>
      </c>
      <c r="O9" s="311">
        <v>3667.35</v>
      </c>
      <c r="P9" s="311">
        <v>3871.06</v>
      </c>
      <c r="Q9" s="311">
        <v>7552.2</v>
      </c>
      <c r="R9" s="311">
        <v>4392.05</v>
      </c>
      <c r="S9" s="311">
        <v>3822.54</v>
      </c>
      <c r="T9" s="311">
        <v>3908.27</v>
      </c>
      <c r="U9" s="311">
        <v>4562.52</v>
      </c>
      <c r="V9" s="311">
        <v>4292.86</v>
      </c>
      <c r="W9" s="311">
        <v>4142.37</v>
      </c>
      <c r="X9" s="311">
        <v>4022.55</v>
      </c>
      <c r="Y9" s="311">
        <v>4665.19</v>
      </c>
      <c r="Z9" s="311">
        <v>3442.5</v>
      </c>
      <c r="AA9" s="311">
        <f t="shared" si="4"/>
        <v>52341.46000000001</v>
      </c>
      <c r="AB9" s="342">
        <f t="shared" si="1"/>
        <v>0.9999896832371711</v>
      </c>
      <c r="AC9" s="836"/>
    </row>
    <row r="10" spans="1:29" ht="12.75">
      <c r="A10" s="48"/>
      <c r="B10" s="47"/>
      <c r="C10" s="48">
        <v>4120</v>
      </c>
      <c r="D10" s="49" t="s">
        <v>532</v>
      </c>
      <c r="E10" s="311">
        <v>7361</v>
      </c>
      <c r="F10" s="311"/>
      <c r="G10" s="311"/>
      <c r="H10" s="311"/>
      <c r="I10" s="311"/>
      <c r="J10" s="311"/>
      <c r="K10" s="320"/>
      <c r="L10" s="311">
        <v>700</v>
      </c>
      <c r="M10" s="311">
        <v>-470</v>
      </c>
      <c r="N10" s="311">
        <f t="shared" si="5"/>
        <v>7591</v>
      </c>
      <c r="O10" s="311">
        <v>515.19</v>
      </c>
      <c r="P10" s="311">
        <v>543.8</v>
      </c>
      <c r="Q10" s="311">
        <v>1060.94</v>
      </c>
      <c r="R10" s="311">
        <v>612.09</v>
      </c>
      <c r="S10" s="311">
        <v>532.72</v>
      </c>
      <c r="T10" s="311">
        <v>544.7</v>
      </c>
      <c r="U10" s="311">
        <v>635.84</v>
      </c>
      <c r="V10" s="311">
        <v>598.27</v>
      </c>
      <c r="W10" s="311">
        <v>577.29</v>
      </c>
      <c r="X10" s="311">
        <v>560.6</v>
      </c>
      <c r="Y10" s="311">
        <v>680.58</v>
      </c>
      <c r="Z10" s="311">
        <v>728.77</v>
      </c>
      <c r="AA10" s="311">
        <f t="shared" si="4"/>
        <v>7590.790000000001</v>
      </c>
      <c r="AB10" s="342">
        <f t="shared" si="1"/>
        <v>0.9999723356606509</v>
      </c>
      <c r="AC10" s="837"/>
    </row>
    <row r="11" spans="1:29" ht="31.5" customHeight="1">
      <c r="A11" s="48"/>
      <c r="B11" s="47"/>
      <c r="C11" s="48">
        <v>4210</v>
      </c>
      <c r="D11" s="49" t="s">
        <v>1201</v>
      </c>
      <c r="E11" s="311">
        <v>50000</v>
      </c>
      <c r="F11" s="311"/>
      <c r="G11" s="311">
        <v>10000</v>
      </c>
      <c r="H11" s="311"/>
      <c r="I11" s="311">
        <v>20000</v>
      </c>
      <c r="J11" s="311">
        <v>5000</v>
      </c>
      <c r="K11" s="320">
        <v>18540</v>
      </c>
      <c r="L11" s="311">
        <v>18400</v>
      </c>
      <c r="M11" s="311">
        <v>4600</v>
      </c>
      <c r="N11" s="311">
        <f t="shared" si="5"/>
        <v>126540</v>
      </c>
      <c r="O11" s="311">
        <v>4628.07</v>
      </c>
      <c r="P11" s="311">
        <v>2113.31</v>
      </c>
      <c r="Q11" s="311">
        <v>4485.07</v>
      </c>
      <c r="R11" s="311">
        <v>3219.47</v>
      </c>
      <c r="S11" s="311">
        <v>7325.14</v>
      </c>
      <c r="T11" s="311">
        <v>25030.07</v>
      </c>
      <c r="U11" s="311">
        <v>9958.32</v>
      </c>
      <c r="V11" s="311">
        <v>27641.69</v>
      </c>
      <c r="W11" s="311">
        <v>12053.87</v>
      </c>
      <c r="X11" s="311">
        <f>7404.39-400</f>
        <v>7004.39</v>
      </c>
      <c r="Y11" s="311">
        <v>18030.21</v>
      </c>
      <c r="Z11" s="311">
        <v>5011.91</v>
      </c>
      <c r="AA11" s="311">
        <f t="shared" si="4"/>
        <v>126501.51999999999</v>
      </c>
      <c r="AB11" s="342">
        <f t="shared" si="1"/>
        <v>0.9996959064327484</v>
      </c>
      <c r="AC11" s="838" t="s">
        <v>228</v>
      </c>
    </row>
    <row r="12" spans="1:29" ht="31.5" customHeight="1">
      <c r="A12" s="48"/>
      <c r="B12" s="47"/>
      <c r="C12" s="48">
        <v>4260</v>
      </c>
      <c r="D12" s="49" t="s">
        <v>527</v>
      </c>
      <c r="E12" s="311">
        <v>76522</v>
      </c>
      <c r="F12" s="311"/>
      <c r="G12" s="311">
        <v>-15022</v>
      </c>
      <c r="H12" s="311"/>
      <c r="I12" s="311"/>
      <c r="J12" s="311"/>
      <c r="K12" s="320"/>
      <c r="L12" s="311">
        <v>6000</v>
      </c>
      <c r="M12" s="311">
        <f>900+600</f>
        <v>1500</v>
      </c>
      <c r="N12" s="311">
        <f t="shared" si="5"/>
        <v>69000</v>
      </c>
      <c r="O12" s="311">
        <v>517.84</v>
      </c>
      <c r="P12" s="311">
        <v>7357.58</v>
      </c>
      <c r="Q12" s="311">
        <v>10250.66</v>
      </c>
      <c r="R12" s="311">
        <v>3232.83</v>
      </c>
      <c r="S12" s="311">
        <v>2349.01</v>
      </c>
      <c r="T12" s="311">
        <v>8648.89</v>
      </c>
      <c r="U12" s="311">
        <v>4093.33</v>
      </c>
      <c r="V12" s="311">
        <v>8108.71</v>
      </c>
      <c r="W12" s="311">
        <v>3363.67</v>
      </c>
      <c r="X12" s="311">
        <v>10494.82</v>
      </c>
      <c r="Y12" s="311">
        <v>3007.88</v>
      </c>
      <c r="Z12" s="311">
        <v>7557.65</v>
      </c>
      <c r="AA12" s="311">
        <f t="shared" si="4"/>
        <v>68982.87</v>
      </c>
      <c r="AB12" s="342">
        <f t="shared" si="1"/>
        <v>0.9997517391304347</v>
      </c>
      <c r="AC12" s="839"/>
    </row>
    <row r="13" spans="1:29" s="338" customFormat="1" ht="31.5" customHeight="1">
      <c r="A13" s="343"/>
      <c r="B13" s="343"/>
      <c r="C13" s="343">
        <v>4270</v>
      </c>
      <c r="D13" s="344" t="s">
        <v>499</v>
      </c>
      <c r="E13" s="345">
        <v>10000</v>
      </c>
      <c r="F13" s="345"/>
      <c r="G13" s="345">
        <v>-5000</v>
      </c>
      <c r="H13" s="345"/>
      <c r="I13" s="345"/>
      <c r="J13" s="345">
        <v>-500</v>
      </c>
      <c r="K13" s="351">
        <v>2500</v>
      </c>
      <c r="L13" s="345">
        <v>6000</v>
      </c>
      <c r="M13" s="345">
        <v>800</v>
      </c>
      <c r="N13" s="311">
        <f t="shared" si="5"/>
        <v>13800</v>
      </c>
      <c r="O13" s="311">
        <v>970</v>
      </c>
      <c r="P13" s="311">
        <v>541</v>
      </c>
      <c r="Q13" s="311">
        <v>0</v>
      </c>
      <c r="R13" s="311">
        <v>1385</v>
      </c>
      <c r="S13" s="311">
        <v>0</v>
      </c>
      <c r="T13" s="311">
        <v>140</v>
      </c>
      <c r="U13" s="311">
        <v>420</v>
      </c>
      <c r="V13" s="311">
        <v>320</v>
      </c>
      <c r="W13" s="311">
        <v>2260</v>
      </c>
      <c r="X13" s="311">
        <v>3207</v>
      </c>
      <c r="Y13" s="311">
        <v>255</v>
      </c>
      <c r="Z13" s="311">
        <v>4300</v>
      </c>
      <c r="AA13" s="311">
        <f t="shared" si="4"/>
        <v>13798</v>
      </c>
      <c r="AB13" s="342">
        <f t="shared" si="1"/>
        <v>0.9998550724637681</v>
      </c>
      <c r="AC13" s="839"/>
    </row>
    <row r="14" spans="1:29" s="338" customFormat="1" ht="31.5" customHeight="1">
      <c r="A14" s="343"/>
      <c r="B14" s="343"/>
      <c r="C14" s="343">
        <v>4280</v>
      </c>
      <c r="D14" s="344" t="s">
        <v>534</v>
      </c>
      <c r="E14" s="345">
        <v>1400</v>
      </c>
      <c r="F14" s="345"/>
      <c r="G14" s="345"/>
      <c r="H14" s="345"/>
      <c r="I14" s="345">
        <v>82</v>
      </c>
      <c r="J14" s="345">
        <v>1500</v>
      </c>
      <c r="K14" s="351"/>
      <c r="L14" s="345">
        <v>600</v>
      </c>
      <c r="M14" s="345">
        <v>70</v>
      </c>
      <c r="N14" s="311">
        <f t="shared" si="5"/>
        <v>3652</v>
      </c>
      <c r="O14" s="311">
        <v>0</v>
      </c>
      <c r="P14" s="311">
        <v>0</v>
      </c>
      <c r="Q14" s="311">
        <v>0</v>
      </c>
      <c r="R14" s="311">
        <v>1084.11</v>
      </c>
      <c r="S14" s="311">
        <v>0</v>
      </c>
      <c r="T14" s="311">
        <v>70</v>
      </c>
      <c r="U14" s="311">
        <v>288</v>
      </c>
      <c r="V14" s="311">
        <f>1157+50</f>
        <v>1207</v>
      </c>
      <c r="W14" s="311">
        <v>149</v>
      </c>
      <c r="X14" s="311">
        <v>392</v>
      </c>
      <c r="Y14" s="311">
        <f>194+140</f>
        <v>334</v>
      </c>
      <c r="Z14" s="311">
        <v>40</v>
      </c>
      <c r="AA14" s="311">
        <f t="shared" si="4"/>
        <v>3564.1099999999997</v>
      </c>
      <c r="AB14" s="342">
        <f t="shared" si="1"/>
        <v>0.975933734939759</v>
      </c>
      <c r="AC14" s="839"/>
    </row>
    <row r="15" spans="1:29" ht="78.75" customHeight="1">
      <c r="A15" s="48"/>
      <c r="B15" s="48"/>
      <c r="C15" s="48">
        <v>4300</v>
      </c>
      <c r="D15" s="49" t="s">
        <v>1203</v>
      </c>
      <c r="E15" s="311">
        <v>5000</v>
      </c>
      <c r="F15" s="311">
        <v>15000</v>
      </c>
      <c r="G15" s="311"/>
      <c r="H15" s="311"/>
      <c r="I15" s="311">
        <v>6000</v>
      </c>
      <c r="J15" s="311">
        <v>-1000</v>
      </c>
      <c r="K15" s="320">
        <v>9000</v>
      </c>
      <c r="L15" s="311">
        <v>6500</v>
      </c>
      <c r="M15" s="311">
        <f>1168+400</f>
        <v>1568</v>
      </c>
      <c r="N15" s="311">
        <f t="shared" si="5"/>
        <v>42068</v>
      </c>
      <c r="O15" s="311">
        <v>2804.25</v>
      </c>
      <c r="P15" s="311">
        <v>1527.62</v>
      </c>
      <c r="Q15" s="311">
        <v>826.83</v>
      </c>
      <c r="R15" s="311">
        <v>2221.41</v>
      </c>
      <c r="S15" s="311">
        <v>5331.75</v>
      </c>
      <c r="T15" s="311">
        <v>1321.75</v>
      </c>
      <c r="U15" s="311">
        <v>4060.11</v>
      </c>
      <c r="V15" s="311">
        <v>4630.23</v>
      </c>
      <c r="W15" s="311">
        <v>9451.72</v>
      </c>
      <c r="X15" s="311">
        <f>1072.02+400</f>
        <v>1472.02</v>
      </c>
      <c r="Y15" s="311">
        <v>6360.15</v>
      </c>
      <c r="Z15" s="311">
        <v>1955.58</v>
      </c>
      <c r="AA15" s="311">
        <f t="shared" si="4"/>
        <v>41963.42</v>
      </c>
      <c r="AB15" s="342">
        <f t="shared" si="1"/>
        <v>0.9975140249120471</v>
      </c>
      <c r="AC15" s="840"/>
    </row>
    <row r="16" spans="1:29" ht="14.25" customHeight="1">
      <c r="A16" s="48"/>
      <c r="B16" s="48"/>
      <c r="C16" s="48">
        <v>4410</v>
      </c>
      <c r="D16" s="49" t="s">
        <v>528</v>
      </c>
      <c r="E16" s="311">
        <v>8000</v>
      </c>
      <c r="F16" s="311"/>
      <c r="G16" s="311"/>
      <c r="H16" s="311"/>
      <c r="I16" s="311"/>
      <c r="J16" s="311">
        <v>1000</v>
      </c>
      <c r="K16" s="320">
        <v>1500</v>
      </c>
      <c r="L16" s="311"/>
      <c r="M16" s="311">
        <v>300</v>
      </c>
      <c r="N16" s="311">
        <f t="shared" si="5"/>
        <v>10800</v>
      </c>
      <c r="O16" s="311">
        <v>449.36</v>
      </c>
      <c r="P16" s="311">
        <v>363.76</v>
      </c>
      <c r="Q16" s="311">
        <v>728.42</v>
      </c>
      <c r="R16" s="311">
        <v>1267.12</v>
      </c>
      <c r="S16" s="311">
        <v>1075.42</v>
      </c>
      <c r="T16" s="311">
        <v>1079.14</v>
      </c>
      <c r="U16" s="311">
        <v>328.18</v>
      </c>
      <c r="V16" s="311">
        <v>2801.53</v>
      </c>
      <c r="W16" s="311">
        <v>593.19</v>
      </c>
      <c r="X16" s="311">
        <v>677.74</v>
      </c>
      <c r="Y16" s="311">
        <v>761.47</v>
      </c>
      <c r="Z16" s="311">
        <f>177.19+421.7</f>
        <v>598.89</v>
      </c>
      <c r="AA16" s="311">
        <f t="shared" si="4"/>
        <v>10724.22</v>
      </c>
      <c r="AB16" s="342">
        <f t="shared" si="1"/>
        <v>0.9929833333333332</v>
      </c>
      <c r="AC16" s="835" t="s">
        <v>494</v>
      </c>
    </row>
    <row r="17" spans="1:29" ht="14.25" customHeight="1">
      <c r="A17" s="48"/>
      <c r="B17" s="48"/>
      <c r="C17" s="48">
        <v>4420</v>
      </c>
      <c r="D17" s="49" t="s">
        <v>495</v>
      </c>
      <c r="E17" s="311">
        <v>550</v>
      </c>
      <c r="F17" s="311"/>
      <c r="G17" s="311"/>
      <c r="H17" s="311"/>
      <c r="I17" s="311"/>
      <c r="J17" s="311"/>
      <c r="K17" s="320">
        <v>505</v>
      </c>
      <c r="L17" s="311"/>
      <c r="M17" s="311"/>
      <c r="N17" s="311">
        <f t="shared" si="5"/>
        <v>1055</v>
      </c>
      <c r="O17" s="311">
        <v>0</v>
      </c>
      <c r="P17" s="311">
        <v>0</v>
      </c>
      <c r="Q17" s="311">
        <v>0</v>
      </c>
      <c r="R17" s="311">
        <v>479.81</v>
      </c>
      <c r="S17" s="311">
        <v>0</v>
      </c>
      <c r="T17" s="311">
        <v>0</v>
      </c>
      <c r="U17" s="311"/>
      <c r="V17" s="311"/>
      <c r="W17" s="311">
        <v>574.34</v>
      </c>
      <c r="X17" s="311">
        <v>0</v>
      </c>
      <c r="Y17" s="311"/>
      <c r="Z17" s="311"/>
      <c r="AA17" s="311">
        <f t="shared" si="4"/>
        <v>1054.15</v>
      </c>
      <c r="AB17" s="342">
        <f t="shared" si="1"/>
        <v>0.9991943127962086</v>
      </c>
      <c r="AC17" s="837"/>
    </row>
    <row r="18" spans="1:29" ht="87" customHeight="1">
      <c r="A18" s="48"/>
      <c r="B18" s="48"/>
      <c r="C18" s="48">
        <v>4430</v>
      </c>
      <c r="D18" s="49" t="s">
        <v>1210</v>
      </c>
      <c r="E18" s="311">
        <v>35000</v>
      </c>
      <c r="F18" s="311"/>
      <c r="G18" s="311"/>
      <c r="H18" s="311"/>
      <c r="I18" s="311">
        <v>7000</v>
      </c>
      <c r="J18" s="311">
        <v>-2000</v>
      </c>
      <c r="K18" s="320"/>
      <c r="L18" s="311"/>
      <c r="M18" s="311">
        <f>-3510+100</f>
        <v>-3410</v>
      </c>
      <c r="N18" s="311">
        <f t="shared" si="5"/>
        <v>36590</v>
      </c>
      <c r="O18" s="311">
        <v>16176.83</v>
      </c>
      <c r="P18" s="311">
        <v>0</v>
      </c>
      <c r="Q18" s="311">
        <v>6890.68</v>
      </c>
      <c r="R18" s="311">
        <v>626</v>
      </c>
      <c r="S18" s="311">
        <v>0</v>
      </c>
      <c r="T18" s="311">
        <v>719</v>
      </c>
      <c r="U18" s="311">
        <v>11741.69</v>
      </c>
      <c r="V18" s="311">
        <v>333.75</v>
      </c>
      <c r="W18" s="311"/>
      <c r="X18" s="311">
        <v>0</v>
      </c>
      <c r="Y18" s="311"/>
      <c r="Z18" s="311">
        <f>15.5+1.21</f>
        <v>16.71</v>
      </c>
      <c r="AA18" s="311">
        <f t="shared" si="4"/>
        <v>36504.66</v>
      </c>
      <c r="AB18" s="342">
        <f t="shared" si="1"/>
        <v>0.9976676687619569</v>
      </c>
      <c r="AC18" s="715" t="s">
        <v>496</v>
      </c>
    </row>
    <row r="19" spans="1:29" ht="19.5" customHeight="1">
      <c r="A19" s="48"/>
      <c r="B19" s="48"/>
      <c r="C19" s="48">
        <v>4440</v>
      </c>
      <c r="D19" s="49" t="s">
        <v>1018</v>
      </c>
      <c r="E19" s="311">
        <v>6190</v>
      </c>
      <c r="F19" s="311"/>
      <c r="G19" s="311"/>
      <c r="H19" s="311"/>
      <c r="I19" s="311">
        <v>918</v>
      </c>
      <c r="J19" s="311"/>
      <c r="K19" s="320"/>
      <c r="L19" s="311"/>
      <c r="M19" s="311"/>
      <c r="N19" s="311">
        <f t="shared" si="5"/>
        <v>7108</v>
      </c>
      <c r="O19" s="311">
        <v>0</v>
      </c>
      <c r="P19" s="311">
        <v>0</v>
      </c>
      <c r="Q19" s="311">
        <v>0</v>
      </c>
      <c r="R19" s="311">
        <v>0</v>
      </c>
      <c r="S19" s="311">
        <v>2905.5</v>
      </c>
      <c r="T19" s="311">
        <v>581.1</v>
      </c>
      <c r="U19" s="311">
        <v>581.1</v>
      </c>
      <c r="V19" s="311">
        <v>581.1</v>
      </c>
      <c r="W19" s="311">
        <v>581.1</v>
      </c>
      <c r="X19" s="311">
        <v>625.8</v>
      </c>
      <c r="Y19" s="311">
        <v>625.8</v>
      </c>
      <c r="Z19" s="311">
        <f>Y19</f>
        <v>625.8</v>
      </c>
      <c r="AA19" s="311">
        <f t="shared" si="4"/>
        <v>7107.300000000001</v>
      </c>
      <c r="AB19" s="342">
        <f t="shared" si="1"/>
        <v>0.9999015194147441</v>
      </c>
      <c r="AC19" s="715" t="s">
        <v>1019</v>
      </c>
    </row>
    <row r="20" spans="1:29" ht="19.5" customHeight="1">
      <c r="A20" s="48"/>
      <c r="B20" s="48"/>
      <c r="C20" s="48">
        <v>4530</v>
      </c>
      <c r="D20" s="49" t="s">
        <v>1020</v>
      </c>
      <c r="E20" s="311">
        <v>40000</v>
      </c>
      <c r="F20" s="311">
        <f>-15000+148</f>
        <v>-14852</v>
      </c>
      <c r="G20" s="311">
        <v>-15931</v>
      </c>
      <c r="H20" s="311">
        <v>2970</v>
      </c>
      <c r="I20" s="311"/>
      <c r="J20" s="311"/>
      <c r="K20" s="320">
        <v>3000</v>
      </c>
      <c r="L20" s="311">
        <v>800</v>
      </c>
      <c r="M20" s="311"/>
      <c r="N20" s="311">
        <f t="shared" si="5"/>
        <v>15987</v>
      </c>
      <c r="O20" s="311">
        <v>578.92</v>
      </c>
      <c r="P20" s="311">
        <v>896.15</v>
      </c>
      <c r="Q20" s="311">
        <v>545.56</v>
      </c>
      <c r="R20" s="311">
        <v>814.77</v>
      </c>
      <c r="S20" s="311">
        <v>489.06</v>
      </c>
      <c r="T20" s="311">
        <v>2440.17</v>
      </c>
      <c r="U20" s="311">
        <v>1541.34</v>
      </c>
      <c r="V20" s="311">
        <v>3139.83</v>
      </c>
      <c r="W20" s="311">
        <v>1630.24</v>
      </c>
      <c r="X20" s="311">
        <v>1011.83</v>
      </c>
      <c r="Y20" s="311">
        <v>1668.18</v>
      </c>
      <c r="Z20" s="311">
        <v>1156.46</v>
      </c>
      <c r="AA20" s="311">
        <f t="shared" si="4"/>
        <v>15912.509999999998</v>
      </c>
      <c r="AB20" s="342">
        <f t="shared" si="1"/>
        <v>0.9953405892287482</v>
      </c>
      <c r="AC20" s="715" t="s">
        <v>1021</v>
      </c>
    </row>
    <row r="21" spans="1:29" ht="29.25" customHeight="1">
      <c r="A21" s="48"/>
      <c r="B21" s="48"/>
      <c r="C21" s="48">
        <v>4570</v>
      </c>
      <c r="D21" s="49" t="s">
        <v>1022</v>
      </c>
      <c r="E21" s="311"/>
      <c r="F21" s="311"/>
      <c r="G21" s="311">
        <v>130</v>
      </c>
      <c r="H21" s="311"/>
      <c r="I21" s="311"/>
      <c r="J21" s="311"/>
      <c r="K21" s="320"/>
      <c r="L21" s="311"/>
      <c r="M21" s="311"/>
      <c r="N21" s="311">
        <f t="shared" si="5"/>
        <v>130</v>
      </c>
      <c r="O21" s="311"/>
      <c r="P21" s="311"/>
      <c r="Q21" s="311"/>
      <c r="R21" s="311"/>
      <c r="S21" s="311">
        <v>129.66</v>
      </c>
      <c r="T21" s="311">
        <v>0</v>
      </c>
      <c r="U21" s="311"/>
      <c r="V21" s="311"/>
      <c r="W21" s="311"/>
      <c r="X21" s="311"/>
      <c r="Y21" s="311"/>
      <c r="Z21" s="311"/>
      <c r="AA21" s="311">
        <f t="shared" si="4"/>
        <v>129.66</v>
      </c>
      <c r="AB21" s="342">
        <f t="shared" si="1"/>
        <v>0.9973846153846153</v>
      </c>
      <c r="AC21" s="715" t="s">
        <v>1023</v>
      </c>
    </row>
    <row r="22" spans="1:29" ht="46.5" customHeight="1">
      <c r="A22" s="48"/>
      <c r="B22" s="48"/>
      <c r="C22" s="48">
        <v>6080</v>
      </c>
      <c r="D22" s="49" t="s">
        <v>1024</v>
      </c>
      <c r="E22" s="311"/>
      <c r="F22" s="311"/>
      <c r="G22" s="311"/>
      <c r="H22" s="311"/>
      <c r="I22" s="311"/>
      <c r="J22" s="311"/>
      <c r="K22" s="320"/>
      <c r="L22" s="311">
        <f>8823+17000</f>
        <v>25823</v>
      </c>
      <c r="M22" s="311"/>
      <c r="N22" s="311">
        <f t="shared" si="5"/>
        <v>25823</v>
      </c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20">
        <f>25823</f>
        <v>25823</v>
      </c>
      <c r="Z22" s="311"/>
      <c r="AA22" s="311">
        <f>SUM(O22:Z22)</f>
        <v>25823</v>
      </c>
      <c r="AB22" s="342">
        <f>AA22/N22</f>
        <v>1</v>
      </c>
      <c r="AC22" s="715" t="s">
        <v>1025</v>
      </c>
    </row>
    <row r="23" spans="1:29" ht="38.25">
      <c r="A23" s="48"/>
      <c r="B23" s="48"/>
      <c r="C23" s="48">
        <v>6080</v>
      </c>
      <c r="D23" s="49" t="s">
        <v>1024</v>
      </c>
      <c r="E23" s="311"/>
      <c r="F23" s="311"/>
      <c r="G23" s="311">
        <v>25823</v>
      </c>
      <c r="H23" s="311">
        <v>13500</v>
      </c>
      <c r="I23" s="311"/>
      <c r="J23" s="311"/>
      <c r="K23" s="320"/>
      <c r="L23" s="311">
        <f>-8823-17000</f>
        <v>-25823</v>
      </c>
      <c r="M23" s="311"/>
      <c r="N23" s="311">
        <f t="shared" si="5"/>
        <v>13500</v>
      </c>
      <c r="O23" s="311"/>
      <c r="P23" s="311"/>
      <c r="Q23" s="311"/>
      <c r="R23" s="311"/>
      <c r="S23" s="311"/>
      <c r="T23" s="311">
        <f>17000+8823</f>
        <v>25823</v>
      </c>
      <c r="U23" s="311"/>
      <c r="V23" s="311">
        <v>13500</v>
      </c>
      <c r="W23" s="311"/>
      <c r="X23" s="311"/>
      <c r="Y23" s="320">
        <v>-25823</v>
      </c>
      <c r="Z23" s="311"/>
      <c r="AA23" s="311">
        <f t="shared" si="4"/>
        <v>13500</v>
      </c>
      <c r="AB23" s="342">
        <f t="shared" si="1"/>
        <v>1</v>
      </c>
      <c r="AC23" s="719" t="s">
        <v>229</v>
      </c>
    </row>
    <row r="24" spans="1:29" s="26" customFormat="1" ht="12.75">
      <c r="A24" s="149">
        <v>600</v>
      </c>
      <c r="B24" s="149"/>
      <c r="C24" s="149"/>
      <c r="D24" s="346" t="s">
        <v>107</v>
      </c>
      <c r="E24" s="347">
        <f aca="true" t="shared" si="6" ref="E24:AA24">E25</f>
        <v>174200</v>
      </c>
      <c r="F24" s="347">
        <f t="shared" si="6"/>
        <v>0</v>
      </c>
      <c r="G24" s="347">
        <f t="shared" si="6"/>
        <v>0</v>
      </c>
      <c r="H24" s="347">
        <f t="shared" si="6"/>
        <v>0</v>
      </c>
      <c r="I24" s="347">
        <f t="shared" si="6"/>
        <v>0</v>
      </c>
      <c r="J24" s="347">
        <f t="shared" si="6"/>
        <v>0</v>
      </c>
      <c r="K24" s="347">
        <f t="shared" si="6"/>
        <v>0</v>
      </c>
      <c r="L24" s="347">
        <f t="shared" si="6"/>
        <v>0</v>
      </c>
      <c r="M24" s="347">
        <f t="shared" si="6"/>
        <v>0</v>
      </c>
      <c r="N24" s="347">
        <f t="shared" si="6"/>
        <v>174200</v>
      </c>
      <c r="O24" s="347">
        <f t="shared" si="6"/>
        <v>7689.789999999999</v>
      </c>
      <c r="P24" s="347">
        <f t="shared" si="6"/>
        <v>7720.04</v>
      </c>
      <c r="Q24" s="347">
        <f t="shared" si="6"/>
        <v>22817.88</v>
      </c>
      <c r="R24" s="347">
        <f t="shared" si="6"/>
        <v>10657.58</v>
      </c>
      <c r="S24" s="347">
        <f t="shared" si="6"/>
        <v>5758</v>
      </c>
      <c r="T24" s="347">
        <f t="shared" si="6"/>
        <v>33679.28</v>
      </c>
      <c r="U24" s="347">
        <f t="shared" si="6"/>
        <v>5114.82</v>
      </c>
      <c r="V24" s="347">
        <f t="shared" si="6"/>
        <v>29939.43</v>
      </c>
      <c r="W24" s="347">
        <f t="shared" si="6"/>
        <v>7526.269999999999</v>
      </c>
      <c r="X24" s="347">
        <f t="shared" si="6"/>
        <v>10919.42</v>
      </c>
      <c r="Y24" s="347">
        <f t="shared" si="6"/>
        <v>9098.960000000001</v>
      </c>
      <c r="Z24" s="347">
        <f t="shared" si="6"/>
        <v>23273.750000000004</v>
      </c>
      <c r="AA24" s="347">
        <f t="shared" si="6"/>
        <v>174195.22</v>
      </c>
      <c r="AB24" s="337">
        <f t="shared" si="1"/>
        <v>0.9999725602755454</v>
      </c>
      <c r="AC24" s="721"/>
    </row>
    <row r="25" spans="1:29" s="348" customFormat="1" ht="19.5" customHeight="1">
      <c r="A25" s="339"/>
      <c r="B25" s="339">
        <v>60016</v>
      </c>
      <c r="C25" s="339"/>
      <c r="D25" s="341" t="s">
        <v>110</v>
      </c>
      <c r="E25" s="306">
        <f aca="true" t="shared" si="7" ref="E25:AA25">SUM(E26:E38)</f>
        <v>174200</v>
      </c>
      <c r="F25" s="306">
        <f t="shared" si="7"/>
        <v>0</v>
      </c>
      <c r="G25" s="306">
        <f t="shared" si="7"/>
        <v>0</v>
      </c>
      <c r="H25" s="306">
        <f>SUM(H26:H38)</f>
        <v>0</v>
      </c>
      <c r="I25" s="306">
        <f>SUM(I26:I38)</f>
        <v>0</v>
      </c>
      <c r="J25" s="306">
        <f>SUM(J26:J38)</f>
        <v>0</v>
      </c>
      <c r="K25" s="318">
        <f>SUM(K26:K38)</f>
        <v>0</v>
      </c>
      <c r="L25" s="306">
        <f>SUM(L26:L38)</f>
        <v>0</v>
      </c>
      <c r="M25" s="306">
        <f t="shared" si="7"/>
        <v>0</v>
      </c>
      <c r="N25" s="306">
        <f t="shared" si="7"/>
        <v>174200</v>
      </c>
      <c r="O25" s="306">
        <f t="shared" si="7"/>
        <v>7689.789999999999</v>
      </c>
      <c r="P25" s="306">
        <f t="shared" si="7"/>
        <v>7720.04</v>
      </c>
      <c r="Q25" s="306">
        <f t="shared" si="7"/>
        <v>22817.88</v>
      </c>
      <c r="R25" s="306">
        <f t="shared" si="7"/>
        <v>10657.58</v>
      </c>
      <c r="S25" s="306">
        <f t="shared" si="7"/>
        <v>5758</v>
      </c>
      <c r="T25" s="306">
        <f t="shared" si="7"/>
        <v>33679.28</v>
      </c>
      <c r="U25" s="306">
        <f t="shared" si="7"/>
        <v>5114.82</v>
      </c>
      <c r="V25" s="306">
        <f t="shared" si="7"/>
        <v>29939.43</v>
      </c>
      <c r="W25" s="306">
        <f t="shared" si="7"/>
        <v>7526.269999999999</v>
      </c>
      <c r="X25" s="306">
        <f t="shared" si="7"/>
        <v>10919.42</v>
      </c>
      <c r="Y25" s="306">
        <f t="shared" si="7"/>
        <v>9098.960000000001</v>
      </c>
      <c r="Z25" s="306">
        <f t="shared" si="7"/>
        <v>23273.750000000004</v>
      </c>
      <c r="AA25" s="306">
        <f t="shared" si="7"/>
        <v>174195.22</v>
      </c>
      <c r="AB25" s="713">
        <f t="shared" si="1"/>
        <v>0.9999725602755454</v>
      </c>
      <c r="AC25" s="719" t="s">
        <v>439</v>
      </c>
    </row>
    <row r="26" spans="1:29" ht="24" customHeight="1">
      <c r="A26" s="48"/>
      <c r="B26" s="48"/>
      <c r="C26" s="48">
        <v>3020</v>
      </c>
      <c r="D26" s="49" t="s">
        <v>440</v>
      </c>
      <c r="E26" s="311"/>
      <c r="F26" s="311">
        <v>84</v>
      </c>
      <c r="G26" s="311"/>
      <c r="H26" s="311"/>
      <c r="I26" s="311"/>
      <c r="J26" s="311"/>
      <c r="K26" s="320"/>
      <c r="L26" s="311"/>
      <c r="M26" s="311">
        <v>-3</v>
      </c>
      <c r="N26" s="311">
        <f>SUM(E26:M26)</f>
        <v>81</v>
      </c>
      <c r="O26" s="311"/>
      <c r="P26" s="311"/>
      <c r="Q26" s="311">
        <v>21</v>
      </c>
      <c r="R26" s="311">
        <v>0</v>
      </c>
      <c r="S26" s="311">
        <v>0</v>
      </c>
      <c r="T26" s="311">
        <v>0</v>
      </c>
      <c r="U26" s="311">
        <v>21</v>
      </c>
      <c r="V26" s="311"/>
      <c r="W26" s="311">
        <v>21</v>
      </c>
      <c r="X26" s="311">
        <v>0</v>
      </c>
      <c r="Y26" s="311"/>
      <c r="Z26" s="311">
        <v>17.5</v>
      </c>
      <c r="AA26" s="311">
        <f aca="true" t="shared" si="8" ref="AA26:AA38">SUM(O26:Z26)</f>
        <v>80.5</v>
      </c>
      <c r="AB26" s="342">
        <f t="shared" si="1"/>
        <v>0.9938271604938271</v>
      </c>
      <c r="AC26" s="841" t="s">
        <v>1026</v>
      </c>
    </row>
    <row r="27" spans="1:29" ht="24" customHeight="1">
      <c r="A27" s="48"/>
      <c r="B27" s="48"/>
      <c r="C27" s="48">
        <v>4010</v>
      </c>
      <c r="D27" s="49" t="s">
        <v>524</v>
      </c>
      <c r="E27" s="311">
        <v>53600</v>
      </c>
      <c r="F27" s="311"/>
      <c r="G27" s="311"/>
      <c r="H27" s="311"/>
      <c r="I27" s="311"/>
      <c r="J27" s="311"/>
      <c r="K27" s="320"/>
      <c r="L27" s="311">
        <v>-2600</v>
      </c>
      <c r="M27" s="311">
        <v>-949</v>
      </c>
      <c r="N27" s="311">
        <f aca="true" t="shared" si="9" ref="N27:N38">SUM(E27:M27)</f>
        <v>50051</v>
      </c>
      <c r="O27" s="311">
        <v>4210.21</v>
      </c>
      <c r="P27" s="311">
        <v>4486.21</v>
      </c>
      <c r="Q27" s="311">
        <v>3961.61</v>
      </c>
      <c r="R27" s="311">
        <v>4150.2</v>
      </c>
      <c r="S27" s="311">
        <v>4265.93</v>
      </c>
      <c r="T27" s="311">
        <v>1896.99</v>
      </c>
      <c r="U27" s="311">
        <v>2522.26</v>
      </c>
      <c r="V27" s="311">
        <v>4714.75</v>
      </c>
      <c r="W27" s="311">
        <v>4762.75</v>
      </c>
      <c r="X27" s="311">
        <v>4635.63</v>
      </c>
      <c r="Y27" s="311">
        <f>800+4965.33</f>
        <v>5765.33</v>
      </c>
      <c r="Z27" s="311">
        <v>4678.75</v>
      </c>
      <c r="AA27" s="311">
        <f t="shared" si="8"/>
        <v>50050.62</v>
      </c>
      <c r="AB27" s="342">
        <f t="shared" si="1"/>
        <v>0.999992407744101</v>
      </c>
      <c r="AC27" s="842"/>
    </row>
    <row r="28" spans="1:29" ht="14.25" customHeight="1">
      <c r="A28" s="48"/>
      <c r="B28" s="48"/>
      <c r="C28" s="48">
        <v>4040</v>
      </c>
      <c r="D28" s="49" t="s">
        <v>442</v>
      </c>
      <c r="E28" s="311">
        <v>3571</v>
      </c>
      <c r="F28" s="311">
        <v>53</v>
      </c>
      <c r="G28" s="311"/>
      <c r="H28" s="311"/>
      <c r="I28" s="311"/>
      <c r="J28" s="311"/>
      <c r="K28" s="320"/>
      <c r="L28" s="311"/>
      <c r="M28" s="311"/>
      <c r="N28" s="311">
        <f t="shared" si="9"/>
        <v>3624</v>
      </c>
      <c r="O28" s="311">
        <v>0</v>
      </c>
      <c r="P28" s="311">
        <v>0</v>
      </c>
      <c r="Q28" s="311">
        <v>3623.3</v>
      </c>
      <c r="R28" s="311">
        <v>0</v>
      </c>
      <c r="S28" s="311">
        <v>0</v>
      </c>
      <c r="T28" s="311">
        <v>0</v>
      </c>
      <c r="U28" s="311"/>
      <c r="V28" s="311"/>
      <c r="W28" s="311"/>
      <c r="X28" s="311"/>
      <c r="Y28" s="311"/>
      <c r="Z28" s="311"/>
      <c r="AA28" s="311">
        <f t="shared" si="8"/>
        <v>3623.3</v>
      </c>
      <c r="AB28" s="342">
        <f t="shared" si="1"/>
        <v>0.9998068432671082</v>
      </c>
      <c r="AC28" s="842"/>
    </row>
    <row r="29" spans="1:29" ht="14.25" customHeight="1">
      <c r="A29" s="48"/>
      <c r="B29" s="48"/>
      <c r="C29" s="48">
        <v>4110</v>
      </c>
      <c r="D29" s="49" t="s">
        <v>525</v>
      </c>
      <c r="E29" s="311">
        <v>9768</v>
      </c>
      <c r="F29" s="311"/>
      <c r="G29" s="311"/>
      <c r="H29" s="311"/>
      <c r="I29" s="311"/>
      <c r="J29" s="311"/>
      <c r="K29" s="320"/>
      <c r="L29" s="311">
        <v>-700</v>
      </c>
      <c r="M29" s="311">
        <v>94</v>
      </c>
      <c r="N29" s="311">
        <f t="shared" si="9"/>
        <v>9162</v>
      </c>
      <c r="O29" s="311">
        <v>734.27</v>
      </c>
      <c r="P29" s="311">
        <v>782.4</v>
      </c>
      <c r="Q29" s="311">
        <v>1322.8</v>
      </c>
      <c r="R29" s="311">
        <v>700.47</v>
      </c>
      <c r="S29" s="311">
        <v>422.17</v>
      </c>
      <c r="T29" s="311">
        <v>333.49</v>
      </c>
      <c r="U29" s="311">
        <v>771.2</v>
      </c>
      <c r="V29" s="311">
        <v>828.84</v>
      </c>
      <c r="W29" s="311">
        <v>837.28</v>
      </c>
      <c r="X29" s="311">
        <v>637.25</v>
      </c>
      <c r="Y29" s="311">
        <f>140.64+828.48</f>
        <v>969.12</v>
      </c>
      <c r="Z29" s="311">
        <v>822.52</v>
      </c>
      <c r="AA29" s="311">
        <f t="shared" si="8"/>
        <v>9161.810000000001</v>
      </c>
      <c r="AB29" s="342">
        <f t="shared" si="1"/>
        <v>0.999979262169832</v>
      </c>
      <c r="AC29" s="842"/>
    </row>
    <row r="30" spans="1:29" ht="14.25" customHeight="1">
      <c r="A30" s="48"/>
      <c r="B30" s="48"/>
      <c r="C30" s="48">
        <v>4120</v>
      </c>
      <c r="D30" s="49" t="s">
        <v>532</v>
      </c>
      <c r="E30" s="311">
        <v>1372</v>
      </c>
      <c r="F30" s="311"/>
      <c r="G30" s="311"/>
      <c r="H30" s="311"/>
      <c r="I30" s="311"/>
      <c r="J30" s="311"/>
      <c r="K30" s="320"/>
      <c r="L30" s="311">
        <v>-100</v>
      </c>
      <c r="M30" s="311">
        <v>8</v>
      </c>
      <c r="N30" s="311">
        <f t="shared" si="9"/>
        <v>1280</v>
      </c>
      <c r="O30" s="311">
        <v>103.15</v>
      </c>
      <c r="P30" s="311">
        <v>109.91</v>
      </c>
      <c r="Q30" s="311">
        <v>185.83</v>
      </c>
      <c r="R30" s="311">
        <v>97.62</v>
      </c>
      <c r="S30" s="311">
        <v>58.84</v>
      </c>
      <c r="T30" s="311">
        <v>46.47</v>
      </c>
      <c r="U30" s="311">
        <v>107.48</v>
      </c>
      <c r="V30" s="311">
        <v>115.51</v>
      </c>
      <c r="W30" s="311">
        <v>116.69</v>
      </c>
      <c r="X30" s="311">
        <v>88.81</v>
      </c>
      <c r="Y30" s="311">
        <f>19.6+115.46</f>
        <v>135.06</v>
      </c>
      <c r="Z30" s="311">
        <v>114.63</v>
      </c>
      <c r="AA30" s="311">
        <f t="shared" si="8"/>
        <v>1280</v>
      </c>
      <c r="AB30" s="342">
        <f t="shared" si="1"/>
        <v>1</v>
      </c>
      <c r="AC30" s="843"/>
    </row>
    <row r="31" spans="1:29" ht="14.25" customHeight="1">
      <c r="A31" s="48"/>
      <c r="B31" s="48"/>
      <c r="C31" s="48">
        <v>4170</v>
      </c>
      <c r="D31" s="49" t="s">
        <v>533</v>
      </c>
      <c r="E31" s="311">
        <v>4000</v>
      </c>
      <c r="F31" s="311">
        <v>-2137</v>
      </c>
      <c r="G31" s="311"/>
      <c r="H31" s="311"/>
      <c r="I31" s="311">
        <v>-1863</v>
      </c>
      <c r="J31" s="311"/>
      <c r="K31" s="320"/>
      <c r="L31" s="311"/>
      <c r="M31" s="311"/>
      <c r="N31" s="311">
        <f t="shared" si="9"/>
        <v>0</v>
      </c>
      <c r="O31" s="311">
        <v>0</v>
      </c>
      <c r="P31" s="311">
        <v>0</v>
      </c>
      <c r="Q31" s="311">
        <v>0</v>
      </c>
      <c r="R31" s="311">
        <v>0</v>
      </c>
      <c r="S31" s="311">
        <v>0</v>
      </c>
      <c r="T31" s="311">
        <v>0</v>
      </c>
      <c r="U31" s="311">
        <v>0</v>
      </c>
      <c r="V31" s="311"/>
      <c r="W31" s="311"/>
      <c r="X31" s="311"/>
      <c r="Y31" s="311"/>
      <c r="Z31" s="311"/>
      <c r="AA31" s="311">
        <f t="shared" si="8"/>
        <v>0</v>
      </c>
      <c r="AB31" s="342"/>
      <c r="AC31" s="719"/>
    </row>
    <row r="32" spans="1:29" ht="24.75" customHeight="1">
      <c r="A32" s="48"/>
      <c r="B32" s="48"/>
      <c r="C32" s="48">
        <v>4210</v>
      </c>
      <c r="D32" s="49" t="s">
        <v>1201</v>
      </c>
      <c r="E32" s="311">
        <v>57655</v>
      </c>
      <c r="F32" s="311"/>
      <c r="G32" s="311"/>
      <c r="H32" s="311"/>
      <c r="I32" s="311"/>
      <c r="J32" s="311">
        <v>-18500</v>
      </c>
      <c r="K32" s="320">
        <v>-3000</v>
      </c>
      <c r="L32" s="311">
        <v>-5000</v>
      </c>
      <c r="M32" s="311">
        <v>1996</v>
      </c>
      <c r="N32" s="311">
        <f t="shared" si="9"/>
        <v>33151</v>
      </c>
      <c r="O32" s="311">
        <v>1565.28</v>
      </c>
      <c r="P32" s="311">
        <v>1733.67</v>
      </c>
      <c r="Q32" s="311">
        <v>7315.42</v>
      </c>
      <c r="R32" s="311">
        <v>3676.97</v>
      </c>
      <c r="S32" s="311">
        <v>216.48</v>
      </c>
      <c r="T32" s="311">
        <v>9531.1</v>
      </c>
      <c r="U32" s="311">
        <v>390.21</v>
      </c>
      <c r="V32" s="311">
        <v>393.16</v>
      </c>
      <c r="W32" s="311">
        <v>1482.66</v>
      </c>
      <c r="X32" s="311">
        <v>3077.73</v>
      </c>
      <c r="Y32" s="311">
        <v>1546.68</v>
      </c>
      <c r="Z32" s="311">
        <v>2221.17</v>
      </c>
      <c r="AA32" s="311">
        <f t="shared" si="8"/>
        <v>33150.53</v>
      </c>
      <c r="AB32" s="342">
        <f aca="true" t="shared" si="10" ref="AB32:AB44">AA32/N32</f>
        <v>0.9999858224487949</v>
      </c>
      <c r="AC32" s="838" t="s">
        <v>230</v>
      </c>
    </row>
    <row r="33" spans="1:29" ht="42" customHeight="1">
      <c r="A33" s="48"/>
      <c r="B33" s="48"/>
      <c r="C33" s="48">
        <v>4270</v>
      </c>
      <c r="D33" s="49" t="s">
        <v>499</v>
      </c>
      <c r="E33" s="311">
        <v>11000</v>
      </c>
      <c r="F33" s="311"/>
      <c r="G33" s="311">
        <v>-7000</v>
      </c>
      <c r="H33" s="311"/>
      <c r="I33" s="311"/>
      <c r="J33" s="311">
        <v>-2500</v>
      </c>
      <c r="K33" s="320"/>
      <c r="L33" s="311">
        <v>600</v>
      </c>
      <c r="M33" s="311">
        <v>-40</v>
      </c>
      <c r="N33" s="311">
        <f t="shared" si="9"/>
        <v>2060</v>
      </c>
      <c r="O33" s="311">
        <v>0</v>
      </c>
      <c r="P33" s="311">
        <v>140</v>
      </c>
      <c r="Q33" s="311">
        <v>0</v>
      </c>
      <c r="R33" s="311">
        <v>0</v>
      </c>
      <c r="S33" s="311">
        <v>0</v>
      </c>
      <c r="T33" s="311">
        <v>589.84</v>
      </c>
      <c r="U33" s="311"/>
      <c r="V33" s="311"/>
      <c r="W33" s="311"/>
      <c r="X33" s="311">
        <v>1330</v>
      </c>
      <c r="Y33" s="311"/>
      <c r="Z33" s="311"/>
      <c r="AA33" s="311">
        <f t="shared" si="8"/>
        <v>2059.84</v>
      </c>
      <c r="AB33" s="342">
        <f t="shared" si="10"/>
        <v>0.9999223300970874</v>
      </c>
      <c r="AC33" s="844"/>
    </row>
    <row r="34" spans="1:29" ht="33" customHeight="1">
      <c r="A34" s="48"/>
      <c r="B34" s="48"/>
      <c r="C34" s="48">
        <v>4300</v>
      </c>
      <c r="D34" s="49" t="s">
        <v>1203</v>
      </c>
      <c r="E34" s="311">
        <v>27539</v>
      </c>
      <c r="F34" s="311"/>
      <c r="G34" s="311">
        <v>5000</v>
      </c>
      <c r="H34" s="311"/>
      <c r="I34" s="311">
        <v>1565</v>
      </c>
      <c r="J34" s="311">
        <v>20000</v>
      </c>
      <c r="K34" s="320">
        <v>2300</v>
      </c>
      <c r="L34" s="311">
        <v>8400</v>
      </c>
      <c r="M34" s="311">
        <f>-380+258</f>
        <v>-122</v>
      </c>
      <c r="N34" s="311">
        <f t="shared" si="9"/>
        <v>64682</v>
      </c>
      <c r="O34" s="311">
        <v>370</v>
      </c>
      <c r="P34" s="311">
        <v>290</v>
      </c>
      <c r="Q34" s="311">
        <v>5395.5</v>
      </c>
      <c r="R34" s="311">
        <v>1599</v>
      </c>
      <c r="S34" s="311">
        <v>0</v>
      </c>
      <c r="T34" s="311">
        <v>19345</v>
      </c>
      <c r="U34" s="311"/>
      <c r="V34" s="311">
        <v>22176</v>
      </c>
      <c r="W34" s="311"/>
      <c r="X34" s="311">
        <v>744</v>
      </c>
      <c r="Y34" s="311">
        <v>380</v>
      </c>
      <c r="Z34" s="320">
        <f>131.97+14630-380</f>
        <v>14381.97</v>
      </c>
      <c r="AA34" s="311">
        <f t="shared" si="8"/>
        <v>64681.47</v>
      </c>
      <c r="AB34" s="342">
        <f t="shared" si="10"/>
        <v>0.9999918060666028</v>
      </c>
      <c r="AC34" s="845"/>
    </row>
    <row r="35" spans="1:29" ht="36" customHeight="1">
      <c r="A35" s="48"/>
      <c r="B35" s="48"/>
      <c r="C35" s="48">
        <v>4410</v>
      </c>
      <c r="D35" s="49" t="s">
        <v>528</v>
      </c>
      <c r="E35" s="311">
        <v>1815</v>
      </c>
      <c r="F35" s="311"/>
      <c r="G35" s="311"/>
      <c r="H35" s="311"/>
      <c r="I35" s="311">
        <v>-500</v>
      </c>
      <c r="J35" s="311"/>
      <c r="K35" s="320"/>
      <c r="L35" s="311">
        <v>-300</v>
      </c>
      <c r="M35" s="311">
        <v>-63</v>
      </c>
      <c r="N35" s="311">
        <f t="shared" si="9"/>
        <v>952</v>
      </c>
      <c r="O35" s="311">
        <v>106.99</v>
      </c>
      <c r="P35" s="311">
        <v>101.64</v>
      </c>
      <c r="Q35" s="311">
        <v>96.29</v>
      </c>
      <c r="R35" s="311">
        <v>80.24</v>
      </c>
      <c r="S35" s="311">
        <v>0</v>
      </c>
      <c r="T35" s="311">
        <v>37.45</v>
      </c>
      <c r="U35" s="311">
        <v>112.34</v>
      </c>
      <c r="V35" s="311">
        <v>117.69</v>
      </c>
      <c r="W35" s="311">
        <v>53.5</v>
      </c>
      <c r="X35" s="311">
        <v>42.8</v>
      </c>
      <c r="Y35" s="311">
        <v>100.18</v>
      </c>
      <c r="Z35" s="311">
        <v>102.58</v>
      </c>
      <c r="AA35" s="311">
        <f t="shared" si="8"/>
        <v>951.7000000000002</v>
      </c>
      <c r="AB35" s="342">
        <f t="shared" si="10"/>
        <v>0.9996848739495799</v>
      </c>
      <c r="AC35" s="715" t="s">
        <v>494</v>
      </c>
    </row>
    <row r="36" spans="1:29" ht="42" customHeight="1">
      <c r="A36" s="48"/>
      <c r="B36" s="48"/>
      <c r="C36" s="48">
        <v>4430</v>
      </c>
      <c r="D36" s="49" t="s">
        <v>1210</v>
      </c>
      <c r="E36" s="311">
        <v>2000</v>
      </c>
      <c r="F36" s="311"/>
      <c r="G36" s="311"/>
      <c r="H36" s="311"/>
      <c r="I36" s="311"/>
      <c r="J36" s="311"/>
      <c r="K36" s="320"/>
      <c r="L36" s="311">
        <v>-300</v>
      </c>
      <c r="M36" s="311">
        <v>-135</v>
      </c>
      <c r="N36" s="311">
        <f t="shared" si="9"/>
        <v>1565</v>
      </c>
      <c r="O36" s="311">
        <v>577.12</v>
      </c>
      <c r="P36" s="311">
        <v>0</v>
      </c>
      <c r="Q36" s="311">
        <v>100</v>
      </c>
      <c r="R36" s="311">
        <v>0</v>
      </c>
      <c r="S36" s="311">
        <v>0</v>
      </c>
      <c r="T36" s="311">
        <v>0</v>
      </c>
      <c r="U36" s="311">
        <v>884.93</v>
      </c>
      <c r="V36" s="311"/>
      <c r="W36" s="311"/>
      <c r="X36" s="311"/>
      <c r="Y36" s="311"/>
      <c r="Z36" s="311">
        <v>2</v>
      </c>
      <c r="AA36" s="311">
        <f t="shared" si="8"/>
        <v>1564.05</v>
      </c>
      <c r="AB36" s="342">
        <f t="shared" si="10"/>
        <v>0.9993929712460063</v>
      </c>
      <c r="AC36" s="715" t="s">
        <v>1028</v>
      </c>
    </row>
    <row r="37" spans="1:29" ht="24.75" customHeight="1">
      <c r="A37" s="48"/>
      <c r="B37" s="48"/>
      <c r="C37" s="48">
        <v>4440</v>
      </c>
      <c r="D37" s="49" t="s">
        <v>1018</v>
      </c>
      <c r="E37" s="311">
        <v>1880</v>
      </c>
      <c r="F37" s="311"/>
      <c r="G37" s="311"/>
      <c r="H37" s="311"/>
      <c r="I37" s="311">
        <v>-2</v>
      </c>
      <c r="J37" s="311"/>
      <c r="K37" s="320"/>
      <c r="L37" s="311"/>
      <c r="M37" s="311"/>
      <c r="N37" s="311">
        <f t="shared" si="9"/>
        <v>1878</v>
      </c>
      <c r="O37" s="311">
        <v>0</v>
      </c>
      <c r="P37" s="311">
        <v>0</v>
      </c>
      <c r="Q37" s="311">
        <v>0</v>
      </c>
      <c r="R37" s="311">
        <v>0</v>
      </c>
      <c r="S37" s="311">
        <v>782.25</v>
      </c>
      <c r="T37" s="311">
        <v>156.45</v>
      </c>
      <c r="U37" s="311">
        <v>156.45</v>
      </c>
      <c r="V37" s="311">
        <v>156.45</v>
      </c>
      <c r="W37" s="311">
        <v>156.45</v>
      </c>
      <c r="X37" s="311">
        <v>156.45</v>
      </c>
      <c r="Y37" s="311">
        <v>156.45</v>
      </c>
      <c r="Z37" s="311">
        <f>Y37</f>
        <v>156.45</v>
      </c>
      <c r="AA37" s="311">
        <f t="shared" si="8"/>
        <v>1877.4000000000003</v>
      </c>
      <c r="AB37" s="342">
        <f t="shared" si="10"/>
        <v>0.9996805111821088</v>
      </c>
      <c r="AC37" s="715" t="s">
        <v>1019</v>
      </c>
    </row>
    <row r="38" spans="1:29" ht="18.75" customHeight="1">
      <c r="A38" s="48"/>
      <c r="B38" s="48"/>
      <c r="C38" s="48">
        <v>4530</v>
      </c>
      <c r="D38" s="49" t="s">
        <v>1020</v>
      </c>
      <c r="E38" s="311"/>
      <c r="F38" s="311">
        <v>2000</v>
      </c>
      <c r="G38" s="311">
        <v>2000</v>
      </c>
      <c r="H38" s="311"/>
      <c r="I38" s="311">
        <v>800</v>
      </c>
      <c r="J38" s="311">
        <v>1000</v>
      </c>
      <c r="K38" s="320">
        <v>700</v>
      </c>
      <c r="L38" s="311"/>
      <c r="M38" s="311">
        <v>-786</v>
      </c>
      <c r="N38" s="311">
        <f t="shared" si="9"/>
        <v>5714</v>
      </c>
      <c r="O38" s="311">
        <v>22.77</v>
      </c>
      <c r="P38" s="311">
        <v>76.21</v>
      </c>
      <c r="Q38" s="311">
        <v>796.13</v>
      </c>
      <c r="R38" s="311">
        <v>353.08</v>
      </c>
      <c r="S38" s="311">
        <v>12.33</v>
      </c>
      <c r="T38" s="311">
        <v>1742.49</v>
      </c>
      <c r="U38" s="311">
        <v>148.95</v>
      </c>
      <c r="V38" s="311">
        <v>1437.03</v>
      </c>
      <c r="W38" s="311">
        <v>95.94</v>
      </c>
      <c r="X38" s="311">
        <v>206.75</v>
      </c>
      <c r="Y38" s="311">
        <v>46.14</v>
      </c>
      <c r="Z38" s="320">
        <f>1098.24-322.06</f>
        <v>776.1800000000001</v>
      </c>
      <c r="AA38" s="311">
        <f t="shared" si="8"/>
        <v>5714</v>
      </c>
      <c r="AB38" s="342">
        <f t="shared" si="10"/>
        <v>1</v>
      </c>
      <c r="AC38" s="715" t="s">
        <v>1021</v>
      </c>
    </row>
    <row r="39" spans="1:29" s="338" customFormat="1" ht="12.75">
      <c r="A39" s="149">
        <v>700</v>
      </c>
      <c r="B39" s="149"/>
      <c r="C39" s="149"/>
      <c r="D39" s="346" t="s">
        <v>113</v>
      </c>
      <c r="E39" s="349">
        <f aca="true" t="shared" si="11" ref="E39:AA39">E40</f>
        <v>283100</v>
      </c>
      <c r="F39" s="349">
        <f t="shared" si="11"/>
        <v>0</v>
      </c>
      <c r="G39" s="349">
        <f t="shared" si="11"/>
        <v>0</v>
      </c>
      <c r="H39" s="349">
        <f t="shared" si="11"/>
        <v>0</v>
      </c>
      <c r="I39" s="349">
        <f t="shared" si="11"/>
        <v>19000</v>
      </c>
      <c r="J39" s="349">
        <f t="shared" si="11"/>
        <v>0</v>
      </c>
      <c r="K39" s="349">
        <f t="shared" si="11"/>
        <v>13000</v>
      </c>
      <c r="L39" s="349">
        <f t="shared" si="11"/>
        <v>5000</v>
      </c>
      <c r="M39" s="349">
        <f t="shared" si="11"/>
        <v>11910</v>
      </c>
      <c r="N39" s="349">
        <f t="shared" si="11"/>
        <v>332010</v>
      </c>
      <c r="O39" s="349">
        <f t="shared" si="11"/>
        <v>23697.490000000005</v>
      </c>
      <c r="P39" s="349">
        <f t="shared" si="11"/>
        <v>28015.579999999998</v>
      </c>
      <c r="Q39" s="349">
        <f t="shared" si="11"/>
        <v>31112.600000000002</v>
      </c>
      <c r="R39" s="349">
        <f t="shared" si="11"/>
        <v>16410.71</v>
      </c>
      <c r="S39" s="349">
        <f t="shared" si="11"/>
        <v>18157.950000000004</v>
      </c>
      <c r="T39" s="349">
        <f t="shared" si="11"/>
        <v>16761.66</v>
      </c>
      <c r="U39" s="349">
        <f t="shared" si="11"/>
        <v>9242.320000000002</v>
      </c>
      <c r="V39" s="349">
        <f t="shared" si="11"/>
        <v>10968.83</v>
      </c>
      <c r="W39" s="349">
        <f t="shared" si="11"/>
        <v>11676.859999999999</v>
      </c>
      <c r="X39" s="349">
        <f t="shared" si="11"/>
        <v>20564.090000000004</v>
      </c>
      <c r="Y39" s="349">
        <f t="shared" si="11"/>
        <v>64695.67</v>
      </c>
      <c r="Z39" s="349">
        <f t="shared" si="11"/>
        <v>42564.490000000005</v>
      </c>
      <c r="AA39" s="349">
        <f t="shared" si="11"/>
        <v>293868.24999999994</v>
      </c>
      <c r="AB39" s="337">
        <f t="shared" si="10"/>
        <v>0.8851186711243636</v>
      </c>
      <c r="AC39" s="722"/>
    </row>
    <row r="40" spans="1:29" ht="25.5">
      <c r="A40" s="350"/>
      <c r="B40" s="339">
        <v>70005</v>
      </c>
      <c r="C40" s="339"/>
      <c r="D40" s="341" t="s">
        <v>114</v>
      </c>
      <c r="E40" s="306">
        <f aca="true" t="shared" si="12" ref="E40:AA40">SUM(E41:E55)</f>
        <v>283100</v>
      </c>
      <c r="F40" s="306">
        <f t="shared" si="12"/>
        <v>0</v>
      </c>
      <c r="G40" s="306">
        <f t="shared" si="12"/>
        <v>0</v>
      </c>
      <c r="H40" s="306">
        <f>SUM(H41:H55)</f>
        <v>0</v>
      </c>
      <c r="I40" s="306">
        <f>SUM(I41:I55)</f>
        <v>19000</v>
      </c>
      <c r="J40" s="306">
        <f>SUM(J41:J55)</f>
        <v>0</v>
      </c>
      <c r="K40" s="318">
        <f>SUM(K41:K55)</f>
        <v>13000</v>
      </c>
      <c r="L40" s="306">
        <f>SUM(L41:L55)</f>
        <v>5000</v>
      </c>
      <c r="M40" s="306">
        <f t="shared" si="12"/>
        <v>11910</v>
      </c>
      <c r="N40" s="306">
        <f t="shared" si="12"/>
        <v>332010</v>
      </c>
      <c r="O40" s="306">
        <f t="shared" si="12"/>
        <v>23697.490000000005</v>
      </c>
      <c r="P40" s="306">
        <f t="shared" si="12"/>
        <v>28015.579999999998</v>
      </c>
      <c r="Q40" s="306">
        <f t="shared" si="12"/>
        <v>31112.600000000002</v>
      </c>
      <c r="R40" s="306">
        <f t="shared" si="12"/>
        <v>16410.71</v>
      </c>
      <c r="S40" s="306">
        <f t="shared" si="12"/>
        <v>18157.950000000004</v>
      </c>
      <c r="T40" s="306">
        <f t="shared" si="12"/>
        <v>16761.66</v>
      </c>
      <c r="U40" s="306">
        <f t="shared" si="12"/>
        <v>9242.320000000002</v>
      </c>
      <c r="V40" s="306">
        <f t="shared" si="12"/>
        <v>10968.83</v>
      </c>
      <c r="W40" s="306">
        <f t="shared" si="12"/>
        <v>11676.859999999999</v>
      </c>
      <c r="X40" s="306">
        <f t="shared" si="12"/>
        <v>20564.090000000004</v>
      </c>
      <c r="Y40" s="306">
        <f t="shared" si="12"/>
        <v>64695.67</v>
      </c>
      <c r="Z40" s="306">
        <f t="shared" si="12"/>
        <v>42564.490000000005</v>
      </c>
      <c r="AA40" s="306">
        <f t="shared" si="12"/>
        <v>293868.24999999994</v>
      </c>
      <c r="AB40" s="713">
        <f t="shared" si="10"/>
        <v>0.8851186711243636</v>
      </c>
      <c r="AC40" s="719" t="s">
        <v>439</v>
      </c>
    </row>
    <row r="41" spans="1:29" ht="28.5" customHeight="1">
      <c r="A41" s="74"/>
      <c r="B41" s="74"/>
      <c r="C41" s="48">
        <v>4010</v>
      </c>
      <c r="D41" s="49" t="s">
        <v>524</v>
      </c>
      <c r="E41" s="320">
        <v>39300</v>
      </c>
      <c r="F41" s="320"/>
      <c r="G41" s="320"/>
      <c r="H41" s="320"/>
      <c r="I41" s="320"/>
      <c r="J41" s="320"/>
      <c r="K41" s="320"/>
      <c r="L41" s="320"/>
      <c r="M41" s="320"/>
      <c r="N41" s="311">
        <f>SUM(E41:M41)</f>
        <v>39300</v>
      </c>
      <c r="O41" s="311">
        <v>3094.17</v>
      </c>
      <c r="P41" s="311">
        <v>3094.17</v>
      </c>
      <c r="Q41" s="311">
        <v>3094.17</v>
      </c>
      <c r="R41" s="311">
        <v>3094.17</v>
      </c>
      <c r="S41" s="311">
        <v>3094.17</v>
      </c>
      <c r="T41" s="311">
        <v>3094.17</v>
      </c>
      <c r="U41" s="311">
        <v>3094.17</v>
      </c>
      <c r="V41" s="311">
        <v>3184</v>
      </c>
      <c r="W41" s="311">
        <v>3284</v>
      </c>
      <c r="X41" s="311">
        <v>3184</v>
      </c>
      <c r="Y41" s="311">
        <f>400+3384</f>
        <v>3784</v>
      </c>
      <c r="Z41" s="311">
        <v>3184</v>
      </c>
      <c r="AA41" s="311">
        <f aca="true" t="shared" si="13" ref="AA41:AA51">SUM(O41:Z41)</f>
        <v>38279.19</v>
      </c>
      <c r="AB41" s="342">
        <f t="shared" si="10"/>
        <v>0.9740251908396947</v>
      </c>
      <c r="AC41" s="841" t="s">
        <v>1026</v>
      </c>
    </row>
    <row r="42" spans="1:29" ht="12.75">
      <c r="A42" s="74"/>
      <c r="B42" s="74"/>
      <c r="C42" s="48">
        <v>4040</v>
      </c>
      <c r="D42" s="49" t="s">
        <v>442</v>
      </c>
      <c r="E42" s="320">
        <v>3021</v>
      </c>
      <c r="F42" s="320">
        <v>-26</v>
      </c>
      <c r="G42" s="320"/>
      <c r="H42" s="320"/>
      <c r="I42" s="320"/>
      <c r="J42" s="320"/>
      <c r="K42" s="320"/>
      <c r="L42" s="320"/>
      <c r="M42" s="320"/>
      <c r="N42" s="311">
        <f aca="true" t="shared" si="14" ref="N42:N55">SUM(E42:M42)</f>
        <v>2995</v>
      </c>
      <c r="O42" s="311">
        <v>0</v>
      </c>
      <c r="P42" s="311">
        <v>0</v>
      </c>
      <c r="Q42" s="311">
        <v>2994.67</v>
      </c>
      <c r="R42" s="311">
        <v>0</v>
      </c>
      <c r="S42" s="311">
        <v>0</v>
      </c>
      <c r="T42" s="311">
        <v>0</v>
      </c>
      <c r="U42" s="311"/>
      <c r="V42" s="311"/>
      <c r="W42" s="311"/>
      <c r="X42" s="311"/>
      <c r="Y42" s="311"/>
      <c r="Z42" s="311"/>
      <c r="AA42" s="311">
        <f t="shared" si="13"/>
        <v>2994.67</v>
      </c>
      <c r="AB42" s="342">
        <f t="shared" si="10"/>
        <v>0.999889816360601</v>
      </c>
      <c r="AC42" s="842"/>
    </row>
    <row r="43" spans="1:29" ht="25.5">
      <c r="A43" s="74"/>
      <c r="B43" s="74"/>
      <c r="C43" s="48">
        <v>4110</v>
      </c>
      <c r="D43" s="49" t="s">
        <v>525</v>
      </c>
      <c r="E43" s="320">
        <v>7380</v>
      </c>
      <c r="F43" s="320"/>
      <c r="G43" s="320"/>
      <c r="H43" s="320"/>
      <c r="I43" s="320"/>
      <c r="J43" s="320"/>
      <c r="K43" s="320"/>
      <c r="L43" s="320"/>
      <c r="M43" s="320"/>
      <c r="N43" s="311">
        <f t="shared" si="14"/>
        <v>7380</v>
      </c>
      <c r="O43" s="311">
        <v>539.62</v>
      </c>
      <c r="P43" s="311">
        <v>539.62</v>
      </c>
      <c r="Q43" s="311">
        <v>1061.89</v>
      </c>
      <c r="R43" s="311">
        <v>543.95</v>
      </c>
      <c r="S43" s="311">
        <v>543.95</v>
      </c>
      <c r="T43" s="311">
        <v>543.95</v>
      </c>
      <c r="U43" s="311">
        <v>543.95</v>
      </c>
      <c r="V43" s="311">
        <v>559.75</v>
      </c>
      <c r="W43" s="311">
        <v>577.33</v>
      </c>
      <c r="X43" s="311">
        <v>559.75</v>
      </c>
      <c r="Y43" s="311">
        <f>70.32+594.91</f>
        <v>665.23</v>
      </c>
      <c r="Z43" s="311">
        <v>559.75</v>
      </c>
      <c r="AA43" s="311">
        <f t="shared" si="13"/>
        <v>7238.74</v>
      </c>
      <c r="AB43" s="342">
        <f t="shared" si="10"/>
        <v>0.9808590785907859</v>
      </c>
      <c r="AC43" s="842"/>
    </row>
    <row r="44" spans="1:29" ht="12.75">
      <c r="A44" s="74"/>
      <c r="B44" s="74"/>
      <c r="C44" s="48">
        <v>4120</v>
      </c>
      <c r="D44" s="49" t="s">
        <v>532</v>
      </c>
      <c r="E44" s="320">
        <v>1036</v>
      </c>
      <c r="F44" s="320"/>
      <c r="G44" s="320"/>
      <c r="H44" s="320"/>
      <c r="I44" s="320"/>
      <c r="J44" s="320"/>
      <c r="K44" s="320"/>
      <c r="L44" s="320"/>
      <c r="M44" s="320"/>
      <c r="N44" s="311">
        <f t="shared" si="14"/>
        <v>1036</v>
      </c>
      <c r="O44" s="311">
        <v>75.81</v>
      </c>
      <c r="P44" s="311">
        <v>75.81</v>
      </c>
      <c r="Q44" s="311">
        <v>149.18</v>
      </c>
      <c r="R44" s="311">
        <v>75.81</v>
      </c>
      <c r="S44" s="311">
        <v>75.81</v>
      </c>
      <c r="T44" s="311">
        <v>75.79</v>
      </c>
      <c r="U44" s="311">
        <v>75.81</v>
      </c>
      <c r="V44" s="311">
        <v>78.01</v>
      </c>
      <c r="W44" s="311">
        <v>80.46</v>
      </c>
      <c r="X44" s="311">
        <v>78</v>
      </c>
      <c r="Y44" s="311">
        <f>9.8+82.91</f>
        <v>92.71</v>
      </c>
      <c r="Z44" s="311">
        <v>78.01</v>
      </c>
      <c r="AA44" s="311">
        <f t="shared" si="13"/>
        <v>1011.21</v>
      </c>
      <c r="AB44" s="342">
        <f t="shared" si="10"/>
        <v>0.9760714285714286</v>
      </c>
      <c r="AC44" s="843"/>
    </row>
    <row r="45" spans="1:29" ht="15.75" customHeight="1">
      <c r="A45" s="48"/>
      <c r="B45" s="48"/>
      <c r="C45" s="48">
        <v>4170</v>
      </c>
      <c r="D45" s="49" t="s">
        <v>533</v>
      </c>
      <c r="E45" s="311">
        <v>900</v>
      </c>
      <c r="F45" s="311"/>
      <c r="G45" s="311"/>
      <c r="H45" s="311"/>
      <c r="I45" s="311">
        <v>-900</v>
      </c>
      <c r="J45" s="311"/>
      <c r="K45" s="320"/>
      <c r="L45" s="311"/>
      <c r="M45" s="311"/>
      <c r="N45" s="311">
        <f t="shared" si="14"/>
        <v>0</v>
      </c>
      <c r="O45" s="311">
        <v>0</v>
      </c>
      <c r="P45" s="311">
        <v>0</v>
      </c>
      <c r="Q45" s="311">
        <v>0</v>
      </c>
      <c r="R45" s="311">
        <v>0</v>
      </c>
      <c r="S45" s="311">
        <v>0</v>
      </c>
      <c r="T45" s="311">
        <v>0</v>
      </c>
      <c r="U45" s="311"/>
      <c r="V45" s="311"/>
      <c r="W45" s="311"/>
      <c r="X45" s="311"/>
      <c r="Y45" s="311"/>
      <c r="Z45" s="311"/>
      <c r="AA45" s="311">
        <f t="shared" si="13"/>
        <v>0</v>
      </c>
      <c r="AB45" s="342"/>
      <c r="AC45" s="719"/>
    </row>
    <row r="46" spans="1:29" ht="54.75" customHeight="1">
      <c r="A46" s="74"/>
      <c r="B46" s="74"/>
      <c r="C46" s="48">
        <v>4210</v>
      </c>
      <c r="D46" s="49" t="s">
        <v>1201</v>
      </c>
      <c r="E46" s="320">
        <v>50000</v>
      </c>
      <c r="F46" s="320">
        <v>-6163</v>
      </c>
      <c r="G46" s="320"/>
      <c r="H46" s="320"/>
      <c r="I46" s="320">
        <v>2000</v>
      </c>
      <c r="J46" s="320"/>
      <c r="K46" s="320">
        <v>-10000</v>
      </c>
      <c r="L46" s="320"/>
      <c r="M46" s="320"/>
      <c r="N46" s="311">
        <f t="shared" si="14"/>
        <v>35837</v>
      </c>
      <c r="O46" s="311">
        <v>2502.85</v>
      </c>
      <c r="P46" s="311">
        <v>2694.66</v>
      </c>
      <c r="Q46" s="311">
        <v>2728.37</v>
      </c>
      <c r="R46" s="311">
        <v>842.47</v>
      </c>
      <c r="S46" s="311">
        <v>8349.22</v>
      </c>
      <c r="T46" s="311">
        <v>113.27</v>
      </c>
      <c r="U46" s="311">
        <v>485.66</v>
      </c>
      <c r="V46" s="311">
        <v>147.55</v>
      </c>
      <c r="W46" s="311">
        <v>359.4</v>
      </c>
      <c r="X46" s="311">
        <v>464.16</v>
      </c>
      <c r="Y46" s="311">
        <v>494.29</v>
      </c>
      <c r="Z46" s="311">
        <v>6265.28</v>
      </c>
      <c r="AA46" s="311">
        <f t="shared" si="13"/>
        <v>25447.18</v>
      </c>
      <c r="AB46" s="342">
        <f aca="true" t="shared" si="15" ref="AB46:AB109">AA46/N46</f>
        <v>0.7100812009933868</v>
      </c>
      <c r="AC46" s="838" t="s">
        <v>231</v>
      </c>
    </row>
    <row r="47" spans="1:29" ht="52.5" customHeight="1">
      <c r="A47" s="74"/>
      <c r="B47" s="74"/>
      <c r="C47" s="48">
        <v>4260</v>
      </c>
      <c r="D47" s="49" t="s">
        <v>527</v>
      </c>
      <c r="E47" s="320">
        <v>131080</v>
      </c>
      <c r="F47" s="320"/>
      <c r="G47" s="320"/>
      <c r="H47" s="320"/>
      <c r="I47" s="320">
        <v>8000</v>
      </c>
      <c r="J47" s="320"/>
      <c r="K47" s="320"/>
      <c r="L47" s="320">
        <v>-5000</v>
      </c>
      <c r="M47" s="320">
        <v>3910</v>
      </c>
      <c r="N47" s="311">
        <f t="shared" si="14"/>
        <v>137990</v>
      </c>
      <c r="O47" s="311">
        <v>15320.75</v>
      </c>
      <c r="P47" s="311">
        <v>17929.88</v>
      </c>
      <c r="Q47" s="311">
        <v>15934.66</v>
      </c>
      <c r="R47" s="311">
        <v>8910.46</v>
      </c>
      <c r="S47" s="311">
        <v>3781.71</v>
      </c>
      <c r="T47" s="311">
        <v>9292.65</v>
      </c>
      <c r="U47" s="311">
        <v>3658.18</v>
      </c>
      <c r="V47" s="311">
        <v>5197.19</v>
      </c>
      <c r="W47" s="311">
        <v>5046.45</v>
      </c>
      <c r="X47" s="311">
        <v>11474.18</v>
      </c>
      <c r="Y47" s="311">
        <f>2833.25+14676.76</f>
        <v>17510.010000000002</v>
      </c>
      <c r="Z47" s="311">
        <v>18869.13</v>
      </c>
      <c r="AA47" s="311">
        <f t="shared" si="13"/>
        <v>132925.25</v>
      </c>
      <c r="AB47" s="342">
        <f t="shared" si="15"/>
        <v>0.9632962533516921</v>
      </c>
      <c r="AC47" s="839"/>
    </row>
    <row r="48" spans="1:29" ht="55.5" customHeight="1">
      <c r="A48" s="48"/>
      <c r="B48" s="48"/>
      <c r="C48" s="48">
        <v>4270</v>
      </c>
      <c r="D48" s="49" t="s">
        <v>1202</v>
      </c>
      <c r="E48" s="311">
        <v>31813</v>
      </c>
      <c r="F48" s="311">
        <v>-5500</v>
      </c>
      <c r="G48" s="311">
        <v>-1750</v>
      </c>
      <c r="H48" s="311"/>
      <c r="I48" s="311"/>
      <c r="J48" s="311"/>
      <c r="K48" s="320">
        <v>-5000</v>
      </c>
      <c r="L48" s="311"/>
      <c r="M48" s="311"/>
      <c r="N48" s="311">
        <f t="shared" si="14"/>
        <v>19563</v>
      </c>
      <c r="O48" s="311">
        <v>350</v>
      </c>
      <c r="P48" s="311">
        <v>888.68</v>
      </c>
      <c r="Q48" s="311">
        <v>150</v>
      </c>
      <c r="R48" s="311">
        <v>520</v>
      </c>
      <c r="S48" s="311">
        <v>150</v>
      </c>
      <c r="T48" s="311">
        <v>1334.85</v>
      </c>
      <c r="U48" s="311">
        <v>150</v>
      </c>
      <c r="V48" s="311">
        <v>150</v>
      </c>
      <c r="W48" s="311">
        <v>150</v>
      </c>
      <c r="X48" s="311">
        <v>720</v>
      </c>
      <c r="Y48" s="311">
        <v>150</v>
      </c>
      <c r="Z48" s="311">
        <v>150</v>
      </c>
      <c r="AA48" s="311">
        <f t="shared" si="13"/>
        <v>4863.53</v>
      </c>
      <c r="AB48" s="342">
        <f t="shared" si="15"/>
        <v>0.24860859786331338</v>
      </c>
      <c r="AC48" s="839"/>
    </row>
    <row r="49" spans="1:29" ht="62.25" customHeight="1">
      <c r="A49" s="42"/>
      <c r="B49" s="48"/>
      <c r="C49" s="48">
        <v>4300</v>
      </c>
      <c r="D49" s="49" t="s">
        <v>1203</v>
      </c>
      <c r="E49" s="311">
        <v>15000</v>
      </c>
      <c r="F49" s="311">
        <v>-1000</v>
      </c>
      <c r="G49" s="311"/>
      <c r="H49" s="311"/>
      <c r="I49" s="311">
        <v>7000</v>
      </c>
      <c r="J49" s="311"/>
      <c r="K49" s="320">
        <v>28000</v>
      </c>
      <c r="L49" s="311">
        <v>5000</v>
      </c>
      <c r="M49" s="311">
        <v>8000</v>
      </c>
      <c r="N49" s="311">
        <f t="shared" si="14"/>
        <v>62000</v>
      </c>
      <c r="O49" s="311">
        <v>1136.9</v>
      </c>
      <c r="P49" s="311">
        <v>1000.14</v>
      </c>
      <c r="Q49" s="311">
        <v>1197.3</v>
      </c>
      <c r="R49" s="311">
        <v>958.9</v>
      </c>
      <c r="S49" s="311">
        <v>658.9</v>
      </c>
      <c r="T49" s="311">
        <v>932.66</v>
      </c>
      <c r="U49" s="311">
        <v>663</v>
      </c>
      <c r="V49" s="311">
        <v>916.92</v>
      </c>
      <c r="W49" s="311">
        <v>1483.96</v>
      </c>
      <c r="X49" s="311">
        <v>3122.49</v>
      </c>
      <c r="Y49" s="311">
        <v>38554.15</v>
      </c>
      <c r="Z49" s="311">
        <f>10939.77+380</f>
        <v>11319.77</v>
      </c>
      <c r="AA49" s="311">
        <f t="shared" si="13"/>
        <v>61945.09</v>
      </c>
      <c r="AB49" s="342">
        <f t="shared" si="15"/>
        <v>0.9991143548387096</v>
      </c>
      <c r="AC49" s="840"/>
    </row>
    <row r="50" spans="1:29" ht="12.75">
      <c r="A50" s="42"/>
      <c r="B50" s="48"/>
      <c r="C50" s="48">
        <v>4410</v>
      </c>
      <c r="D50" s="49" t="s">
        <v>528</v>
      </c>
      <c r="E50" s="311">
        <v>1500</v>
      </c>
      <c r="F50" s="311">
        <v>-1000</v>
      </c>
      <c r="G50" s="311">
        <v>-300</v>
      </c>
      <c r="H50" s="311"/>
      <c r="I50" s="311"/>
      <c r="J50" s="311"/>
      <c r="K50" s="320"/>
      <c r="L50" s="311"/>
      <c r="M50" s="311"/>
      <c r="N50" s="311">
        <f t="shared" si="14"/>
        <v>200</v>
      </c>
      <c r="O50" s="311">
        <v>0</v>
      </c>
      <c r="P50" s="311">
        <v>0</v>
      </c>
      <c r="Q50" s="311">
        <v>0</v>
      </c>
      <c r="R50" s="311">
        <v>54.92</v>
      </c>
      <c r="S50" s="311">
        <v>0</v>
      </c>
      <c r="T50" s="311">
        <v>0</v>
      </c>
      <c r="U50" s="311"/>
      <c r="V50" s="311"/>
      <c r="W50" s="311"/>
      <c r="X50" s="311"/>
      <c r="Y50" s="311"/>
      <c r="Z50" s="311"/>
      <c r="AA50" s="311">
        <f t="shared" si="13"/>
        <v>54.92</v>
      </c>
      <c r="AB50" s="342">
        <f t="shared" si="15"/>
        <v>0.2746</v>
      </c>
      <c r="AC50" s="720" t="s">
        <v>1032</v>
      </c>
    </row>
    <row r="51" spans="1:29" ht="51">
      <c r="A51" s="42"/>
      <c r="B51" s="48"/>
      <c r="C51" s="48">
        <v>4430</v>
      </c>
      <c r="D51" s="49" t="s">
        <v>1210</v>
      </c>
      <c r="E51" s="311">
        <v>1000</v>
      </c>
      <c r="F51" s="311">
        <v>2000</v>
      </c>
      <c r="G51" s="311">
        <v>1000</v>
      </c>
      <c r="H51" s="311"/>
      <c r="I51" s="311">
        <v>2000</v>
      </c>
      <c r="J51" s="311"/>
      <c r="K51" s="320"/>
      <c r="L51" s="311"/>
      <c r="M51" s="311"/>
      <c r="N51" s="311">
        <f t="shared" si="14"/>
        <v>6000</v>
      </c>
      <c r="O51" s="311">
        <v>48.56</v>
      </c>
      <c r="P51" s="311">
        <v>0</v>
      </c>
      <c r="Q51" s="311">
        <v>2296.24</v>
      </c>
      <c r="R51" s="311">
        <v>0</v>
      </c>
      <c r="S51" s="311">
        <v>0</v>
      </c>
      <c r="T51" s="311">
        <v>0</v>
      </c>
      <c r="U51" s="311">
        <v>74.7</v>
      </c>
      <c r="V51" s="311"/>
      <c r="W51" s="311"/>
      <c r="X51" s="311"/>
      <c r="Y51" s="311"/>
      <c r="Z51" s="311"/>
      <c r="AA51" s="311">
        <f t="shared" si="13"/>
        <v>2419.4999999999995</v>
      </c>
      <c r="AB51" s="342">
        <f t="shared" si="15"/>
        <v>0.40324999999999994</v>
      </c>
      <c r="AC51" s="715" t="s">
        <v>1033</v>
      </c>
    </row>
    <row r="52" spans="1:29" s="338" customFormat="1" ht="26.25" customHeight="1">
      <c r="A52" s="42"/>
      <c r="B52" s="48"/>
      <c r="C52" s="48">
        <v>4440</v>
      </c>
      <c r="D52" s="49" t="s">
        <v>1018</v>
      </c>
      <c r="E52" s="311">
        <v>1070</v>
      </c>
      <c r="F52" s="311"/>
      <c r="G52" s="311"/>
      <c r="H52" s="311"/>
      <c r="I52" s="311">
        <v>3</v>
      </c>
      <c r="J52" s="311"/>
      <c r="K52" s="320"/>
      <c r="L52" s="311"/>
      <c r="M52" s="311"/>
      <c r="N52" s="311">
        <f t="shared" si="14"/>
        <v>1073</v>
      </c>
      <c r="O52" s="311">
        <v>0</v>
      </c>
      <c r="P52" s="311">
        <v>0</v>
      </c>
      <c r="Q52" s="311">
        <v>0</v>
      </c>
      <c r="R52" s="311">
        <v>0</v>
      </c>
      <c r="S52" s="311">
        <v>447</v>
      </c>
      <c r="T52" s="311">
        <v>89.4</v>
      </c>
      <c r="U52" s="311">
        <v>89.4</v>
      </c>
      <c r="V52" s="311">
        <v>89.4</v>
      </c>
      <c r="W52" s="311">
        <v>89.4</v>
      </c>
      <c r="X52" s="311">
        <v>89.4</v>
      </c>
      <c r="Y52" s="311">
        <v>89.4</v>
      </c>
      <c r="Z52" s="311">
        <f>Y52</f>
        <v>89.4</v>
      </c>
      <c r="AA52" s="311">
        <f>SUM(O52:Z52)</f>
        <v>1072.8</v>
      </c>
      <c r="AB52" s="342">
        <f t="shared" si="15"/>
        <v>0.9998136067101584</v>
      </c>
      <c r="AC52" s="715" t="s">
        <v>1019</v>
      </c>
    </row>
    <row r="53" spans="1:29" s="338" customFormat="1" ht="31.5" customHeight="1">
      <c r="A53" s="42"/>
      <c r="B53" s="48"/>
      <c r="C53" s="48">
        <v>4480</v>
      </c>
      <c r="D53" s="49" t="s">
        <v>1105</v>
      </c>
      <c r="E53" s="311"/>
      <c r="F53" s="311">
        <v>3689</v>
      </c>
      <c r="G53" s="311"/>
      <c r="H53" s="311"/>
      <c r="I53" s="311"/>
      <c r="J53" s="311"/>
      <c r="K53" s="320"/>
      <c r="L53" s="311"/>
      <c r="M53" s="311"/>
      <c r="N53" s="311">
        <f t="shared" si="14"/>
        <v>3689</v>
      </c>
      <c r="O53" s="311">
        <v>312</v>
      </c>
      <c r="P53" s="311">
        <v>307</v>
      </c>
      <c r="Q53" s="311">
        <v>307</v>
      </c>
      <c r="R53" s="311">
        <v>307</v>
      </c>
      <c r="S53" s="311">
        <v>307</v>
      </c>
      <c r="T53" s="311">
        <v>307</v>
      </c>
      <c r="U53" s="311">
        <v>307</v>
      </c>
      <c r="V53" s="311">
        <v>307</v>
      </c>
      <c r="W53" s="311">
        <v>307</v>
      </c>
      <c r="X53" s="311">
        <v>307</v>
      </c>
      <c r="Y53" s="311">
        <v>307</v>
      </c>
      <c r="Z53" s="311">
        <v>307</v>
      </c>
      <c r="AA53" s="311">
        <f>SUM(O53:Z53)</f>
        <v>3689</v>
      </c>
      <c r="AB53" s="342">
        <f t="shared" si="15"/>
        <v>1</v>
      </c>
      <c r="AC53" s="725" t="s">
        <v>1034</v>
      </c>
    </row>
    <row r="54" spans="1:29" s="338" customFormat="1" ht="21.75" customHeight="1">
      <c r="A54" s="42"/>
      <c r="B54" s="48"/>
      <c r="C54" s="48">
        <v>4530</v>
      </c>
      <c r="D54" s="49" t="s">
        <v>1020</v>
      </c>
      <c r="E54" s="311"/>
      <c r="F54" s="311">
        <v>8000</v>
      </c>
      <c r="G54" s="311">
        <v>1000</v>
      </c>
      <c r="H54" s="311"/>
      <c r="I54" s="311">
        <v>897</v>
      </c>
      <c r="J54" s="311"/>
      <c r="K54" s="320"/>
      <c r="L54" s="311">
        <v>5000</v>
      </c>
      <c r="M54" s="311"/>
      <c r="N54" s="311">
        <f t="shared" si="14"/>
        <v>14897</v>
      </c>
      <c r="O54" s="311">
        <v>316.83</v>
      </c>
      <c r="P54" s="311">
        <v>1485.62</v>
      </c>
      <c r="Q54" s="311">
        <v>1199.12</v>
      </c>
      <c r="R54" s="311">
        <v>1103.03</v>
      </c>
      <c r="S54" s="311">
        <v>709.08</v>
      </c>
      <c r="T54" s="311">
        <v>977.92</v>
      </c>
      <c r="U54" s="311">
        <v>100.45</v>
      </c>
      <c r="V54" s="311">
        <v>339.01</v>
      </c>
      <c r="W54" s="311">
        <v>298.86</v>
      </c>
      <c r="X54" s="311">
        <v>565.11</v>
      </c>
      <c r="Y54" s="311">
        <v>3048.88</v>
      </c>
      <c r="Z54" s="311">
        <v>1742.15</v>
      </c>
      <c r="AA54" s="311">
        <f>SUM(O54:Z54)</f>
        <v>11886.06</v>
      </c>
      <c r="AB54" s="342">
        <f t="shared" si="15"/>
        <v>0.7978827951936631</v>
      </c>
      <c r="AC54" s="715" t="s">
        <v>1035</v>
      </c>
    </row>
    <row r="55" spans="1:29" ht="41.25" customHeight="1">
      <c r="A55" s="48"/>
      <c r="B55" s="48"/>
      <c r="C55" s="48">
        <v>4570</v>
      </c>
      <c r="D55" s="49" t="s">
        <v>1022</v>
      </c>
      <c r="E55" s="311"/>
      <c r="F55" s="311"/>
      <c r="G55" s="311">
        <v>50</v>
      </c>
      <c r="H55" s="311"/>
      <c r="I55" s="311"/>
      <c r="J55" s="311"/>
      <c r="K55" s="320"/>
      <c r="L55" s="311"/>
      <c r="M55" s="311"/>
      <c r="N55" s="311">
        <f t="shared" si="14"/>
        <v>50</v>
      </c>
      <c r="O55" s="311"/>
      <c r="P55" s="311"/>
      <c r="Q55" s="311"/>
      <c r="R55" s="311"/>
      <c r="S55" s="311">
        <v>41.11</v>
      </c>
      <c r="T55" s="311">
        <v>0</v>
      </c>
      <c r="U55" s="311"/>
      <c r="V55" s="311"/>
      <c r="W55" s="311"/>
      <c r="X55" s="311"/>
      <c r="Y55" s="311"/>
      <c r="Z55" s="311"/>
      <c r="AA55" s="311">
        <f>SUM(O55:Z55)</f>
        <v>41.11</v>
      </c>
      <c r="AB55" s="342">
        <f t="shared" si="15"/>
        <v>0.8222</v>
      </c>
      <c r="AC55" s="715" t="s">
        <v>1023</v>
      </c>
    </row>
    <row r="56" spans="1:29" ht="24.75" customHeight="1">
      <c r="A56" s="149">
        <v>900</v>
      </c>
      <c r="B56" s="149"/>
      <c r="C56" s="149"/>
      <c r="D56" s="346" t="s">
        <v>1159</v>
      </c>
      <c r="E56" s="349">
        <f aca="true" t="shared" si="16" ref="E56:AA56">E57+E73+E86+E98</f>
        <v>1124936</v>
      </c>
      <c r="F56" s="349">
        <f t="shared" si="16"/>
        <v>0</v>
      </c>
      <c r="G56" s="349">
        <f t="shared" si="16"/>
        <v>0</v>
      </c>
      <c r="H56" s="349">
        <f t="shared" si="16"/>
        <v>0</v>
      </c>
      <c r="I56" s="349">
        <f t="shared" si="16"/>
        <v>380100</v>
      </c>
      <c r="J56" s="349">
        <f t="shared" si="16"/>
        <v>0</v>
      </c>
      <c r="K56" s="349">
        <f t="shared" si="16"/>
        <v>65264</v>
      </c>
      <c r="L56" s="349">
        <f t="shared" si="16"/>
        <v>199100</v>
      </c>
      <c r="M56" s="349">
        <f t="shared" si="16"/>
        <v>133850</v>
      </c>
      <c r="N56" s="349">
        <f t="shared" si="16"/>
        <v>1903250</v>
      </c>
      <c r="O56" s="349">
        <f t="shared" si="16"/>
        <v>94273.71000000002</v>
      </c>
      <c r="P56" s="349">
        <f t="shared" si="16"/>
        <v>126174</v>
      </c>
      <c r="Q56" s="349">
        <f t="shared" si="16"/>
        <v>177535.63</v>
      </c>
      <c r="R56" s="349">
        <f t="shared" si="16"/>
        <v>91607.09</v>
      </c>
      <c r="S56" s="349">
        <f t="shared" si="16"/>
        <v>111277.51</v>
      </c>
      <c r="T56" s="349">
        <f t="shared" si="16"/>
        <v>120214.45000000001</v>
      </c>
      <c r="U56" s="349">
        <f t="shared" si="16"/>
        <v>102010.72</v>
      </c>
      <c r="V56" s="349">
        <f t="shared" si="16"/>
        <v>210559.32</v>
      </c>
      <c r="W56" s="349">
        <f t="shared" si="16"/>
        <v>110081.09</v>
      </c>
      <c r="X56" s="349">
        <f t="shared" si="16"/>
        <v>182931.77</v>
      </c>
      <c r="Y56" s="349">
        <f t="shared" si="16"/>
        <v>248385.90999999997</v>
      </c>
      <c r="Z56" s="349">
        <f t="shared" si="16"/>
        <v>306033.69</v>
      </c>
      <c r="AA56" s="349">
        <f t="shared" si="16"/>
        <v>1881084.89</v>
      </c>
      <c r="AB56" s="337">
        <f t="shared" si="15"/>
        <v>0.9883540732956784</v>
      </c>
      <c r="AC56" s="722"/>
    </row>
    <row r="57" spans="1:29" ht="32.25" customHeight="1">
      <c r="A57" s="42"/>
      <c r="B57" s="339">
        <v>90001</v>
      </c>
      <c r="C57" s="339"/>
      <c r="D57" s="341" t="s">
        <v>699</v>
      </c>
      <c r="E57" s="306">
        <f aca="true" t="shared" si="17" ref="E57:AA57">SUM(E58:E72)</f>
        <v>392100</v>
      </c>
      <c r="F57" s="306">
        <f t="shared" si="17"/>
        <v>0</v>
      </c>
      <c r="G57" s="306">
        <f t="shared" si="17"/>
        <v>0</v>
      </c>
      <c r="H57" s="306">
        <f t="shared" si="17"/>
        <v>0</v>
      </c>
      <c r="I57" s="306">
        <f t="shared" si="17"/>
        <v>38607</v>
      </c>
      <c r="J57" s="306">
        <f t="shared" si="17"/>
        <v>0</v>
      </c>
      <c r="K57" s="318">
        <f t="shared" si="17"/>
        <v>21000</v>
      </c>
      <c r="L57" s="306">
        <f t="shared" si="17"/>
        <v>13000</v>
      </c>
      <c r="M57" s="306">
        <f t="shared" si="17"/>
        <v>9993</v>
      </c>
      <c r="N57" s="306">
        <f t="shared" si="17"/>
        <v>474700</v>
      </c>
      <c r="O57" s="306">
        <f t="shared" si="17"/>
        <v>29023.660000000003</v>
      </c>
      <c r="P57" s="306">
        <f t="shared" si="17"/>
        <v>40009.310000000005</v>
      </c>
      <c r="Q57" s="306">
        <f t="shared" si="17"/>
        <v>67694.19</v>
      </c>
      <c r="R57" s="306">
        <f t="shared" si="17"/>
        <v>26159.370000000003</v>
      </c>
      <c r="S57" s="306">
        <f t="shared" si="17"/>
        <v>36574.200000000004</v>
      </c>
      <c r="T57" s="306">
        <f t="shared" si="17"/>
        <v>40704.670000000006</v>
      </c>
      <c r="U57" s="306">
        <f t="shared" si="17"/>
        <v>30094.130000000005</v>
      </c>
      <c r="V57" s="306">
        <f t="shared" si="17"/>
        <v>39375.54</v>
      </c>
      <c r="W57" s="306">
        <f t="shared" si="17"/>
        <v>21972.54</v>
      </c>
      <c r="X57" s="306">
        <f t="shared" si="17"/>
        <v>54477.16</v>
      </c>
      <c r="Y57" s="306">
        <f t="shared" si="17"/>
        <v>36453.92</v>
      </c>
      <c r="Z57" s="306">
        <f t="shared" si="17"/>
        <v>48227.17999999999</v>
      </c>
      <c r="AA57" s="306">
        <f t="shared" si="17"/>
        <v>470765.86999999994</v>
      </c>
      <c r="AB57" s="342">
        <f t="shared" si="15"/>
        <v>0.9917123867705918</v>
      </c>
      <c r="AC57" s="726" t="str">
        <f>AC5</f>
        <v>Koszty w tym rozdziale zostały poniesione na: </v>
      </c>
    </row>
    <row r="58" spans="1:29" ht="32.25" customHeight="1">
      <c r="A58" s="42"/>
      <c r="B58" s="48"/>
      <c r="C58" s="48">
        <v>3020</v>
      </c>
      <c r="D58" s="49" t="s">
        <v>440</v>
      </c>
      <c r="E58" s="311"/>
      <c r="F58" s="311">
        <v>504</v>
      </c>
      <c r="G58" s="311"/>
      <c r="H58" s="311"/>
      <c r="I58" s="311"/>
      <c r="J58" s="311"/>
      <c r="K58" s="320"/>
      <c r="L58" s="311"/>
      <c r="M58" s="311">
        <v>-7</v>
      </c>
      <c r="N58" s="311">
        <f>SUM(E58:M58)</f>
        <v>497</v>
      </c>
      <c r="O58" s="311"/>
      <c r="P58" s="311">
        <v>0</v>
      </c>
      <c r="Q58" s="311">
        <v>126</v>
      </c>
      <c r="R58" s="311"/>
      <c r="S58" s="311">
        <v>0</v>
      </c>
      <c r="T58" s="311">
        <v>0</v>
      </c>
      <c r="U58" s="311">
        <v>129.5</v>
      </c>
      <c r="V58" s="311"/>
      <c r="W58" s="311">
        <v>119</v>
      </c>
      <c r="X58" s="311"/>
      <c r="Y58" s="311"/>
      <c r="Z58" s="311">
        <v>122.5</v>
      </c>
      <c r="AA58" s="311">
        <f aca="true" t="shared" si="18" ref="AA58:AA69">SUM(O58:Z58)</f>
        <v>497</v>
      </c>
      <c r="AB58" s="342">
        <f t="shared" si="15"/>
        <v>1</v>
      </c>
      <c r="AC58" s="846" t="s">
        <v>1026</v>
      </c>
    </row>
    <row r="59" spans="1:29" ht="27.75" customHeight="1">
      <c r="A59" s="42"/>
      <c r="B59" s="48"/>
      <c r="C59" s="48">
        <v>4010</v>
      </c>
      <c r="D59" s="49" t="s">
        <v>524</v>
      </c>
      <c r="E59" s="311">
        <v>184276</v>
      </c>
      <c r="F59" s="311"/>
      <c r="G59" s="311"/>
      <c r="H59" s="311"/>
      <c r="I59" s="311"/>
      <c r="J59" s="311"/>
      <c r="K59" s="320"/>
      <c r="L59" s="311">
        <v>4000</v>
      </c>
      <c r="M59" s="311">
        <v>-6400</v>
      </c>
      <c r="N59" s="311">
        <f aca="true" t="shared" si="19" ref="N59:N72">SUM(E59:M59)</f>
        <v>181876</v>
      </c>
      <c r="O59" s="311">
        <v>14202.68</v>
      </c>
      <c r="P59" s="311">
        <v>14982.68</v>
      </c>
      <c r="Q59" s="311">
        <v>14202.68</v>
      </c>
      <c r="R59" s="311">
        <v>14902.68</v>
      </c>
      <c r="S59" s="311">
        <v>16564.7</v>
      </c>
      <c r="T59" s="311">
        <v>14981.62</v>
      </c>
      <c r="U59" s="311">
        <v>15736.86</v>
      </c>
      <c r="V59" s="311">
        <v>14538.1</v>
      </c>
      <c r="W59" s="311">
        <v>13538.1</v>
      </c>
      <c r="X59" s="311">
        <v>16769.3</v>
      </c>
      <c r="Y59" s="311">
        <f>2400+15462.3</f>
        <v>17862.3</v>
      </c>
      <c r="Z59" s="311">
        <v>13526.3</v>
      </c>
      <c r="AA59" s="311">
        <f t="shared" si="18"/>
        <v>181807.99999999997</v>
      </c>
      <c r="AB59" s="342">
        <f t="shared" si="15"/>
        <v>0.9996261188941915</v>
      </c>
      <c r="AC59" s="846"/>
    </row>
    <row r="60" spans="1:29" ht="13.5" customHeight="1">
      <c r="A60" s="42"/>
      <c r="B60" s="48"/>
      <c r="C60" s="48">
        <v>4040</v>
      </c>
      <c r="D60" s="49" t="s">
        <v>531</v>
      </c>
      <c r="E60" s="311">
        <v>13964</v>
      </c>
      <c r="F60" s="311">
        <v>-319</v>
      </c>
      <c r="G60" s="311"/>
      <c r="H60" s="311"/>
      <c r="I60" s="311"/>
      <c r="J60" s="311"/>
      <c r="K60" s="320"/>
      <c r="L60" s="311"/>
      <c r="M60" s="311"/>
      <c r="N60" s="311">
        <f t="shared" si="19"/>
        <v>13645</v>
      </c>
      <c r="O60" s="311">
        <v>0</v>
      </c>
      <c r="P60" s="311">
        <v>0</v>
      </c>
      <c r="Q60" s="311">
        <v>13644.22</v>
      </c>
      <c r="R60" s="311">
        <v>0</v>
      </c>
      <c r="S60" s="311">
        <v>0</v>
      </c>
      <c r="T60" s="311">
        <v>0</v>
      </c>
      <c r="U60" s="311"/>
      <c r="V60" s="311"/>
      <c r="W60" s="311"/>
      <c r="X60" s="311"/>
      <c r="Y60" s="311"/>
      <c r="Z60" s="311"/>
      <c r="AA60" s="311">
        <f t="shared" si="18"/>
        <v>13644.22</v>
      </c>
      <c r="AB60" s="342">
        <f t="shared" si="15"/>
        <v>0.9999428362037376</v>
      </c>
      <c r="AC60" s="846"/>
    </row>
    <row r="61" spans="1:29" ht="13.5" customHeight="1">
      <c r="A61" s="42"/>
      <c r="B61" s="48"/>
      <c r="C61" s="48">
        <v>4110</v>
      </c>
      <c r="D61" s="49" t="s">
        <v>1036</v>
      </c>
      <c r="E61" s="311">
        <v>35344</v>
      </c>
      <c r="F61" s="311"/>
      <c r="G61" s="311"/>
      <c r="H61" s="311"/>
      <c r="I61" s="311"/>
      <c r="J61" s="311"/>
      <c r="K61" s="320"/>
      <c r="L61" s="311"/>
      <c r="M61" s="311">
        <v>-1000</v>
      </c>
      <c r="N61" s="311">
        <f t="shared" si="19"/>
        <v>34344</v>
      </c>
      <c r="O61" s="311">
        <v>2476.97</v>
      </c>
      <c r="P61" s="311">
        <v>2613.01</v>
      </c>
      <c r="Q61" s="311">
        <v>4856.48</v>
      </c>
      <c r="R61" s="311">
        <v>2619.94</v>
      </c>
      <c r="S61" s="311">
        <v>2875.38</v>
      </c>
      <c r="T61" s="311">
        <v>2633.75</v>
      </c>
      <c r="U61" s="311">
        <v>2766.53</v>
      </c>
      <c r="V61" s="311">
        <v>2555.79</v>
      </c>
      <c r="W61" s="311">
        <v>2379.99</v>
      </c>
      <c r="X61" s="311">
        <v>2948.03</v>
      </c>
      <c r="Y61" s="311">
        <f>421.92+2718.26</f>
        <v>3140.1800000000003</v>
      </c>
      <c r="Z61" s="311">
        <v>2377.92</v>
      </c>
      <c r="AA61" s="311">
        <f t="shared" si="18"/>
        <v>34243.969999999994</v>
      </c>
      <c r="AB61" s="342">
        <f t="shared" si="15"/>
        <v>0.9970874097367807</v>
      </c>
      <c r="AC61" s="846"/>
    </row>
    <row r="62" spans="1:29" ht="13.5" customHeight="1">
      <c r="A62" s="42"/>
      <c r="B62" s="48"/>
      <c r="C62" s="48">
        <v>4120</v>
      </c>
      <c r="D62" s="49" t="s">
        <v>532</v>
      </c>
      <c r="E62" s="311">
        <v>4965</v>
      </c>
      <c r="F62" s="311"/>
      <c r="G62" s="311"/>
      <c r="H62" s="311"/>
      <c r="I62" s="311"/>
      <c r="J62" s="311"/>
      <c r="K62" s="320"/>
      <c r="L62" s="311"/>
      <c r="M62" s="311"/>
      <c r="N62" s="311">
        <f t="shared" si="19"/>
        <v>4965</v>
      </c>
      <c r="O62" s="311">
        <v>347.97</v>
      </c>
      <c r="P62" s="311">
        <v>367.08</v>
      </c>
      <c r="Q62" s="311">
        <v>682.25</v>
      </c>
      <c r="R62" s="311">
        <v>365.12</v>
      </c>
      <c r="S62" s="311">
        <v>400.72</v>
      </c>
      <c r="T62" s="311">
        <v>367.04</v>
      </c>
      <c r="U62" s="311">
        <v>385.55</v>
      </c>
      <c r="V62" s="311">
        <v>356.18</v>
      </c>
      <c r="W62" s="311">
        <v>331.69</v>
      </c>
      <c r="X62" s="311">
        <v>410.84</v>
      </c>
      <c r="Y62" s="311">
        <f>58.8+378.83</f>
        <v>437.63</v>
      </c>
      <c r="Z62" s="311">
        <v>331.39</v>
      </c>
      <c r="AA62" s="311">
        <f t="shared" si="18"/>
        <v>4783.460000000001</v>
      </c>
      <c r="AB62" s="342">
        <f t="shared" si="15"/>
        <v>0.9634360523665662</v>
      </c>
      <c r="AC62" s="847"/>
    </row>
    <row r="63" spans="1:29" ht="56.25" customHeight="1">
      <c r="A63" s="42"/>
      <c r="B63" s="48"/>
      <c r="C63" s="48">
        <v>4210</v>
      </c>
      <c r="D63" s="49" t="s">
        <v>1201</v>
      </c>
      <c r="E63" s="311">
        <v>25000</v>
      </c>
      <c r="F63" s="311"/>
      <c r="G63" s="311">
        <v>2000</v>
      </c>
      <c r="H63" s="311"/>
      <c r="I63" s="311">
        <v>10000</v>
      </c>
      <c r="J63" s="311"/>
      <c r="K63" s="320">
        <v>9000</v>
      </c>
      <c r="L63" s="311">
        <f>13000-3419</f>
        <v>9581</v>
      </c>
      <c r="M63" s="311">
        <v>10500</v>
      </c>
      <c r="N63" s="311">
        <f t="shared" si="19"/>
        <v>66081</v>
      </c>
      <c r="O63" s="311">
        <v>4709.09</v>
      </c>
      <c r="P63" s="311">
        <v>1903.21</v>
      </c>
      <c r="Q63" s="311">
        <v>4717.15</v>
      </c>
      <c r="R63" s="311">
        <v>2259.45</v>
      </c>
      <c r="S63" s="311">
        <v>3457.1</v>
      </c>
      <c r="T63" s="311">
        <v>3808.87</v>
      </c>
      <c r="U63" s="311">
        <v>3131.06</v>
      </c>
      <c r="V63" s="311">
        <v>6679.84</v>
      </c>
      <c r="W63" s="311">
        <v>4708.82</v>
      </c>
      <c r="X63" s="311">
        <v>15785.16</v>
      </c>
      <c r="Y63" s="311">
        <f>6140.72+1760</f>
        <v>7900.72</v>
      </c>
      <c r="Z63" s="311">
        <v>6050.84</v>
      </c>
      <c r="AA63" s="311">
        <f t="shared" si="18"/>
        <v>65111.31</v>
      </c>
      <c r="AB63" s="342">
        <f t="shared" si="15"/>
        <v>0.9853257365959958</v>
      </c>
      <c r="AC63" s="848" t="s">
        <v>1029</v>
      </c>
    </row>
    <row r="64" spans="1:29" ht="53.25" customHeight="1">
      <c r="A64" s="42"/>
      <c r="B64" s="48"/>
      <c r="C64" s="48">
        <v>4260</v>
      </c>
      <c r="D64" s="49" t="s">
        <v>527</v>
      </c>
      <c r="E64" s="311">
        <v>74000</v>
      </c>
      <c r="F64" s="311">
        <v>-5190</v>
      </c>
      <c r="G64" s="311">
        <v>-8150</v>
      </c>
      <c r="H64" s="311"/>
      <c r="I64" s="311">
        <v>5000</v>
      </c>
      <c r="J64" s="311"/>
      <c r="K64" s="320">
        <v>10000</v>
      </c>
      <c r="L64" s="311">
        <v>8000</v>
      </c>
      <c r="M64" s="311">
        <v>-1000</v>
      </c>
      <c r="N64" s="311">
        <f t="shared" si="19"/>
        <v>82660</v>
      </c>
      <c r="O64" s="311">
        <v>0</v>
      </c>
      <c r="P64" s="311">
        <v>14725.24</v>
      </c>
      <c r="Q64" s="311">
        <v>14040.38</v>
      </c>
      <c r="R64" s="311">
        <v>0</v>
      </c>
      <c r="S64" s="311">
        <v>0</v>
      </c>
      <c r="T64" s="311">
        <v>13247.18</v>
      </c>
      <c r="U64" s="311"/>
      <c r="V64" s="311">
        <v>13123.37</v>
      </c>
      <c r="W64" s="311"/>
      <c r="X64" s="311">
        <v>12688.97</v>
      </c>
      <c r="Y64" s="311"/>
      <c r="Z64" s="311">
        <f>91.3+4662.39+341.16+4619.74+4161.75</f>
        <v>13876.34</v>
      </c>
      <c r="AA64" s="311">
        <f t="shared" si="18"/>
        <v>81701.48</v>
      </c>
      <c r="AB64" s="342">
        <f t="shared" si="15"/>
        <v>0.988404064843939</v>
      </c>
      <c r="AC64" s="849"/>
    </row>
    <row r="65" spans="1:29" ht="65.25" customHeight="1">
      <c r="A65" s="48"/>
      <c r="B65" s="48"/>
      <c r="C65" s="48">
        <v>4270</v>
      </c>
      <c r="D65" s="49" t="s">
        <v>1202</v>
      </c>
      <c r="E65" s="311">
        <v>15000</v>
      </c>
      <c r="F65" s="311">
        <v>-5000</v>
      </c>
      <c r="G65" s="311">
        <v>-2000</v>
      </c>
      <c r="H65" s="311"/>
      <c r="I65" s="311">
        <v>5000</v>
      </c>
      <c r="J65" s="311"/>
      <c r="K65" s="320"/>
      <c r="L65" s="311">
        <v>-1500</v>
      </c>
      <c r="M65" s="311">
        <v>4000</v>
      </c>
      <c r="N65" s="311">
        <f t="shared" si="19"/>
        <v>15500</v>
      </c>
      <c r="O65" s="311">
        <v>882</v>
      </c>
      <c r="P65" s="311">
        <v>1267</v>
      </c>
      <c r="Q65" s="311">
        <v>270</v>
      </c>
      <c r="R65" s="311">
        <v>1957</v>
      </c>
      <c r="S65" s="311">
        <v>1341</v>
      </c>
      <c r="T65" s="311">
        <v>326</v>
      </c>
      <c r="U65" s="311">
        <v>1819.5</v>
      </c>
      <c r="V65" s="311">
        <v>250</v>
      </c>
      <c r="W65" s="311">
        <v>93.38</v>
      </c>
      <c r="X65" s="311">
        <v>882</v>
      </c>
      <c r="Y65" s="311">
        <v>390</v>
      </c>
      <c r="Z65" s="311">
        <f>1815+1855.5+2100</f>
        <v>5770.5</v>
      </c>
      <c r="AA65" s="311">
        <f t="shared" si="18"/>
        <v>15248.38</v>
      </c>
      <c r="AB65" s="342">
        <f t="shared" si="15"/>
        <v>0.9837664516129032</v>
      </c>
      <c r="AC65" s="849"/>
    </row>
    <row r="66" spans="1:29" ht="62.25" customHeight="1">
      <c r="A66" s="42"/>
      <c r="B66" s="42"/>
      <c r="C66" s="48">
        <v>4300</v>
      </c>
      <c r="D66" s="49" t="s">
        <v>1203</v>
      </c>
      <c r="E66" s="311">
        <v>23000</v>
      </c>
      <c r="F66" s="311">
        <v>-3000</v>
      </c>
      <c r="G66" s="311">
        <v>8000</v>
      </c>
      <c r="H66" s="311"/>
      <c r="I66" s="311">
        <v>17000</v>
      </c>
      <c r="J66" s="311"/>
      <c r="K66" s="320"/>
      <c r="L66" s="311">
        <v>-7900</v>
      </c>
      <c r="M66" s="311">
        <v>1300</v>
      </c>
      <c r="N66" s="311">
        <f t="shared" si="19"/>
        <v>38400</v>
      </c>
      <c r="O66" s="311">
        <v>2805.08</v>
      </c>
      <c r="P66" s="311">
        <v>2615.8</v>
      </c>
      <c r="Q66" s="311">
        <v>6712.41</v>
      </c>
      <c r="R66" s="311">
        <v>2501.22</v>
      </c>
      <c r="S66" s="311">
        <v>8383</v>
      </c>
      <c r="T66" s="311">
        <v>3064.88</v>
      </c>
      <c r="U66" s="311">
        <v>4113.11</v>
      </c>
      <c r="V66" s="311">
        <v>30.95</v>
      </c>
      <c r="W66" s="311">
        <v>30</v>
      </c>
      <c r="X66" s="311">
        <v>2568.39</v>
      </c>
      <c r="Y66" s="311">
        <f>2878.28+396.25-1760</f>
        <v>1514.5300000000002</v>
      </c>
      <c r="Z66" s="311">
        <v>4037.97</v>
      </c>
      <c r="AA66" s="311">
        <f t="shared" si="18"/>
        <v>38377.340000000004</v>
      </c>
      <c r="AB66" s="342">
        <f t="shared" si="15"/>
        <v>0.9994098958333334</v>
      </c>
      <c r="AC66" s="850"/>
    </row>
    <row r="67" spans="1:29" ht="33.75" customHeight="1">
      <c r="A67" s="42"/>
      <c r="B67" s="42"/>
      <c r="C67" s="48">
        <v>4410</v>
      </c>
      <c r="D67" s="49" t="s">
        <v>528</v>
      </c>
      <c r="E67" s="311">
        <v>5131</v>
      </c>
      <c r="F67" s="311">
        <v>-995</v>
      </c>
      <c r="G67" s="311"/>
      <c r="H67" s="311"/>
      <c r="I67" s="311"/>
      <c r="J67" s="311"/>
      <c r="K67" s="320"/>
      <c r="L67" s="311">
        <v>-800</v>
      </c>
      <c r="M67" s="311">
        <v>100</v>
      </c>
      <c r="N67" s="311">
        <f t="shared" si="19"/>
        <v>3436</v>
      </c>
      <c r="O67" s="311">
        <v>345.22</v>
      </c>
      <c r="P67" s="311">
        <v>462.91</v>
      </c>
      <c r="Q67" s="311">
        <v>427.97</v>
      </c>
      <c r="R67" s="311">
        <v>415.83</v>
      </c>
      <c r="S67" s="311">
        <v>498.78</v>
      </c>
      <c r="T67" s="311">
        <v>462.91</v>
      </c>
      <c r="U67" s="311">
        <v>133.38</v>
      </c>
      <c r="V67" s="311">
        <v>72.75</v>
      </c>
      <c r="W67" s="311">
        <v>121.25</v>
      </c>
      <c r="X67" s="311">
        <v>115.19</v>
      </c>
      <c r="Y67" s="311">
        <v>138.77</v>
      </c>
      <c r="Z67" s="311">
        <v>135.63</v>
      </c>
      <c r="AA67" s="311">
        <f t="shared" si="18"/>
        <v>3330.59</v>
      </c>
      <c r="AB67" s="342">
        <f t="shared" si="15"/>
        <v>0.9693218859138534</v>
      </c>
      <c r="AC67" s="715" t="s">
        <v>494</v>
      </c>
    </row>
    <row r="68" spans="1:29" ht="71.25" customHeight="1">
      <c r="A68" s="42"/>
      <c r="B68" s="42"/>
      <c r="C68" s="48">
        <v>4430</v>
      </c>
      <c r="D68" s="49" t="s">
        <v>1210</v>
      </c>
      <c r="E68" s="311">
        <v>5000</v>
      </c>
      <c r="F68" s="311">
        <v>8000</v>
      </c>
      <c r="G68" s="311"/>
      <c r="H68" s="311"/>
      <c r="I68" s="311"/>
      <c r="J68" s="311"/>
      <c r="K68" s="320">
        <v>1000</v>
      </c>
      <c r="L68" s="311">
        <v>-1822</v>
      </c>
      <c r="M68" s="311"/>
      <c r="N68" s="311">
        <f t="shared" si="19"/>
        <v>12178</v>
      </c>
      <c r="O68" s="311">
        <v>2758.01</v>
      </c>
      <c r="P68" s="311">
        <v>0</v>
      </c>
      <c r="Q68" s="311">
        <v>7670.26</v>
      </c>
      <c r="R68" s="311">
        <v>0</v>
      </c>
      <c r="S68" s="311">
        <v>0</v>
      </c>
      <c r="T68" s="311">
        <v>0</v>
      </c>
      <c r="U68" s="311">
        <v>1194.97</v>
      </c>
      <c r="V68" s="311"/>
      <c r="W68" s="311"/>
      <c r="X68" s="311"/>
      <c r="Y68" s="311">
        <v>198</v>
      </c>
      <c r="Z68" s="311">
        <v>2</v>
      </c>
      <c r="AA68" s="311">
        <f t="shared" si="18"/>
        <v>11823.24</v>
      </c>
      <c r="AB68" s="342">
        <f t="shared" si="15"/>
        <v>0.9708687797667925</v>
      </c>
      <c r="AC68" s="715" t="s">
        <v>1030</v>
      </c>
    </row>
    <row r="69" spans="1:29" s="26" customFormat="1" ht="26.25" customHeight="1">
      <c r="A69" s="42"/>
      <c r="B69" s="42"/>
      <c r="C69" s="48">
        <v>4440</v>
      </c>
      <c r="D69" s="49" t="s">
        <v>1018</v>
      </c>
      <c r="E69" s="311">
        <v>6420</v>
      </c>
      <c r="F69" s="311"/>
      <c r="G69" s="311"/>
      <c r="H69" s="311"/>
      <c r="I69" s="311">
        <v>107</v>
      </c>
      <c r="J69" s="311"/>
      <c r="K69" s="320"/>
      <c r="L69" s="311">
        <v>22</v>
      </c>
      <c r="M69" s="311"/>
      <c r="N69" s="311">
        <f t="shared" si="19"/>
        <v>6549</v>
      </c>
      <c r="O69" s="311">
        <v>0</v>
      </c>
      <c r="P69" s="311">
        <v>0</v>
      </c>
      <c r="Q69" s="311">
        <v>0</v>
      </c>
      <c r="R69" s="311">
        <v>0</v>
      </c>
      <c r="S69" s="311">
        <v>2682</v>
      </c>
      <c r="T69" s="311">
        <v>536.4</v>
      </c>
      <c r="U69" s="311">
        <v>536.4</v>
      </c>
      <c r="V69" s="311">
        <v>536.4</v>
      </c>
      <c r="W69" s="311">
        <v>536.4</v>
      </c>
      <c r="X69" s="311">
        <v>566.2</v>
      </c>
      <c r="Y69" s="311">
        <v>566.2</v>
      </c>
      <c r="Z69" s="311">
        <f>Y69+22.35</f>
        <v>588.5500000000001</v>
      </c>
      <c r="AA69" s="311">
        <f t="shared" si="18"/>
        <v>6548.549999999999</v>
      </c>
      <c r="AB69" s="342">
        <f t="shared" si="15"/>
        <v>0.9999312872194227</v>
      </c>
      <c r="AC69" s="715" t="s">
        <v>1019</v>
      </c>
    </row>
    <row r="70" spans="1:29" s="26" customFormat="1" ht="17.25" customHeight="1">
      <c r="A70" s="42"/>
      <c r="B70" s="42"/>
      <c r="C70" s="48">
        <v>4530</v>
      </c>
      <c r="D70" s="49" t="s">
        <v>1020</v>
      </c>
      <c r="E70" s="311"/>
      <c r="F70" s="311">
        <v>6000</v>
      </c>
      <c r="G70" s="311"/>
      <c r="H70" s="311"/>
      <c r="I70" s="311">
        <v>1500</v>
      </c>
      <c r="J70" s="311"/>
      <c r="K70" s="320">
        <v>1000</v>
      </c>
      <c r="L70" s="311"/>
      <c r="M70" s="311">
        <v>2500</v>
      </c>
      <c r="N70" s="311">
        <f t="shared" si="19"/>
        <v>11000</v>
      </c>
      <c r="O70" s="311">
        <v>496.64</v>
      </c>
      <c r="P70" s="311">
        <v>1072.38</v>
      </c>
      <c r="Q70" s="311">
        <v>344.39</v>
      </c>
      <c r="R70" s="311">
        <v>1138.13</v>
      </c>
      <c r="S70" s="311">
        <v>226.04</v>
      </c>
      <c r="T70" s="311">
        <v>1276.02</v>
      </c>
      <c r="U70" s="311">
        <v>147.27</v>
      </c>
      <c r="V70" s="311">
        <v>1232.16</v>
      </c>
      <c r="W70" s="311">
        <v>113.91</v>
      </c>
      <c r="X70" s="311">
        <v>1743.08</v>
      </c>
      <c r="Y70" s="311">
        <v>886.59</v>
      </c>
      <c r="Z70" s="311">
        <v>1407.24</v>
      </c>
      <c r="AA70" s="311">
        <f>SUM(O70:Z70)</f>
        <v>10083.85</v>
      </c>
      <c r="AB70" s="342">
        <f t="shared" si="15"/>
        <v>0.9167136363636363</v>
      </c>
      <c r="AC70" s="715" t="s">
        <v>1021</v>
      </c>
    </row>
    <row r="71" spans="1:29" ht="31.5" customHeight="1">
      <c r="A71" s="48"/>
      <c r="B71" s="48"/>
      <c r="C71" s="48">
        <v>4570</v>
      </c>
      <c r="D71" s="49" t="s">
        <v>1022</v>
      </c>
      <c r="E71" s="311"/>
      <c r="F71" s="311"/>
      <c r="G71" s="311">
        <v>150</v>
      </c>
      <c r="H71" s="311"/>
      <c r="I71" s="311"/>
      <c r="J71" s="311"/>
      <c r="K71" s="320"/>
      <c r="L71" s="311"/>
      <c r="M71" s="311"/>
      <c r="N71" s="311">
        <f t="shared" si="19"/>
        <v>150</v>
      </c>
      <c r="O71" s="311"/>
      <c r="P71" s="311"/>
      <c r="Q71" s="311"/>
      <c r="R71" s="311"/>
      <c r="S71" s="311">
        <v>145.48</v>
      </c>
      <c r="T71" s="311">
        <v>0</v>
      </c>
      <c r="U71" s="311"/>
      <c r="V71" s="311"/>
      <c r="W71" s="311"/>
      <c r="X71" s="311"/>
      <c r="Y71" s="311"/>
      <c r="Z71" s="311"/>
      <c r="AA71" s="311">
        <f>SUM(O71:Z71)</f>
        <v>145.48</v>
      </c>
      <c r="AB71" s="342">
        <f>AA71/N71</f>
        <v>0.9698666666666665</v>
      </c>
      <c r="AC71" s="715" t="s">
        <v>1023</v>
      </c>
    </row>
    <row r="72" spans="1:29" ht="32.25" customHeight="1">
      <c r="A72" s="48"/>
      <c r="B72" s="48"/>
      <c r="C72" s="48">
        <v>6080</v>
      </c>
      <c r="D72" s="49" t="s">
        <v>1024</v>
      </c>
      <c r="E72" s="311"/>
      <c r="F72" s="311"/>
      <c r="G72" s="311"/>
      <c r="H72" s="311"/>
      <c r="I72" s="311"/>
      <c r="J72" s="311"/>
      <c r="K72" s="320"/>
      <c r="L72" s="311">
        <v>3419</v>
      </c>
      <c r="M72" s="311"/>
      <c r="N72" s="311">
        <f t="shared" si="19"/>
        <v>3419</v>
      </c>
      <c r="O72" s="311"/>
      <c r="P72" s="311"/>
      <c r="Q72" s="311"/>
      <c r="R72" s="311"/>
      <c r="S72" s="311"/>
      <c r="T72" s="311">
        <v>0</v>
      </c>
      <c r="U72" s="311"/>
      <c r="V72" s="311"/>
      <c r="W72" s="311"/>
      <c r="X72" s="311"/>
      <c r="Y72" s="311">
        <v>3419</v>
      </c>
      <c r="Z72" s="311"/>
      <c r="AA72" s="311">
        <f>SUM(O72:Z72)</f>
        <v>3419</v>
      </c>
      <c r="AB72" s="342">
        <f>AA72/N72</f>
        <v>1</v>
      </c>
      <c r="AC72" s="719" t="s">
        <v>1031</v>
      </c>
    </row>
    <row r="73" spans="1:29" s="26" customFormat="1" ht="12.75">
      <c r="A73" s="339"/>
      <c r="B73" s="339">
        <v>90003</v>
      </c>
      <c r="C73" s="339"/>
      <c r="D73" s="341" t="s">
        <v>434</v>
      </c>
      <c r="E73" s="306">
        <f aca="true" t="shared" si="20" ref="E73:AA73">SUM(E74:E85)</f>
        <v>144050</v>
      </c>
      <c r="F73" s="306">
        <f t="shared" si="20"/>
        <v>0</v>
      </c>
      <c r="G73" s="306">
        <f t="shared" si="20"/>
        <v>0</v>
      </c>
      <c r="H73" s="306">
        <f>SUM(H74:H85)</f>
        <v>0</v>
      </c>
      <c r="I73" s="306">
        <f>SUM(I74:I85)</f>
        <v>15465</v>
      </c>
      <c r="J73" s="306">
        <f>SUM(J74:J85)</f>
        <v>0</v>
      </c>
      <c r="K73" s="318">
        <f>SUM(K74:K85)</f>
        <v>5000</v>
      </c>
      <c r="L73" s="306">
        <f>SUM(L74:L85)</f>
        <v>14000</v>
      </c>
      <c r="M73" s="306">
        <f t="shared" si="20"/>
        <v>2245</v>
      </c>
      <c r="N73" s="306">
        <f t="shared" si="20"/>
        <v>180760</v>
      </c>
      <c r="O73" s="306">
        <f t="shared" si="20"/>
        <v>9379.78</v>
      </c>
      <c r="P73" s="306">
        <f t="shared" si="20"/>
        <v>15521.52</v>
      </c>
      <c r="Q73" s="306">
        <f t="shared" si="20"/>
        <v>32339.860000000004</v>
      </c>
      <c r="R73" s="306">
        <f t="shared" si="20"/>
        <v>12943.56</v>
      </c>
      <c r="S73" s="306">
        <f t="shared" si="20"/>
        <v>12819.08</v>
      </c>
      <c r="T73" s="306">
        <f t="shared" si="20"/>
        <v>13398.24</v>
      </c>
      <c r="U73" s="306">
        <f t="shared" si="20"/>
        <v>17063.73</v>
      </c>
      <c r="V73" s="306">
        <f t="shared" si="20"/>
        <v>14855.33</v>
      </c>
      <c r="W73" s="306">
        <f t="shared" si="20"/>
        <v>10976.550000000001</v>
      </c>
      <c r="X73" s="306">
        <f t="shared" si="20"/>
        <v>13215.279999999999</v>
      </c>
      <c r="Y73" s="306">
        <f t="shared" si="20"/>
        <v>12250.6</v>
      </c>
      <c r="Z73" s="306">
        <f t="shared" si="20"/>
        <v>11360.44</v>
      </c>
      <c r="AA73" s="306">
        <f t="shared" si="20"/>
        <v>176123.97</v>
      </c>
      <c r="AB73" s="713">
        <f t="shared" si="15"/>
        <v>0.9743525669395884</v>
      </c>
      <c r="AC73" s="719" t="s">
        <v>439</v>
      </c>
    </row>
    <row r="74" spans="1:29" s="26" customFormat="1" ht="25.5" customHeight="1">
      <c r="A74" s="42"/>
      <c r="B74" s="42"/>
      <c r="C74" s="48">
        <v>3020</v>
      </c>
      <c r="D74" s="49" t="s">
        <v>440</v>
      </c>
      <c r="E74" s="311"/>
      <c r="F74" s="311">
        <v>172</v>
      </c>
      <c r="G74" s="311"/>
      <c r="H74" s="311"/>
      <c r="I74" s="311"/>
      <c r="J74" s="311"/>
      <c r="K74" s="320"/>
      <c r="L74" s="311"/>
      <c r="M74" s="311"/>
      <c r="N74" s="311">
        <f aca="true" t="shared" si="21" ref="N74:N85">SUM(E74:M74)</f>
        <v>172</v>
      </c>
      <c r="O74" s="311"/>
      <c r="P74" s="311">
        <v>0</v>
      </c>
      <c r="Q74" s="311">
        <v>45.5</v>
      </c>
      <c r="R74" s="311"/>
      <c r="S74" s="311">
        <v>0</v>
      </c>
      <c r="T74" s="311">
        <v>0</v>
      </c>
      <c r="U74" s="311">
        <v>42</v>
      </c>
      <c r="V74" s="311"/>
      <c r="W74" s="311">
        <v>35</v>
      </c>
      <c r="X74" s="311"/>
      <c r="Y74" s="311"/>
      <c r="Z74" s="311">
        <v>42</v>
      </c>
      <c r="AA74" s="311">
        <f aca="true" t="shared" si="22" ref="AA74:AA85">SUM(O74:Z74)</f>
        <v>164.5</v>
      </c>
      <c r="AB74" s="342">
        <f t="shared" si="15"/>
        <v>0.9563953488372093</v>
      </c>
      <c r="AC74" s="841" t="s">
        <v>510</v>
      </c>
    </row>
    <row r="75" spans="1:29" s="26" customFormat="1" ht="28.5" customHeight="1">
      <c r="A75" s="42"/>
      <c r="B75" s="42"/>
      <c r="C75" s="48">
        <v>4010</v>
      </c>
      <c r="D75" s="49" t="s">
        <v>524</v>
      </c>
      <c r="E75" s="311">
        <v>60300</v>
      </c>
      <c r="F75" s="311"/>
      <c r="G75" s="311"/>
      <c r="H75" s="311"/>
      <c r="I75" s="311">
        <v>7000</v>
      </c>
      <c r="J75" s="311"/>
      <c r="K75" s="320"/>
      <c r="L75" s="311">
        <v>3600</v>
      </c>
      <c r="M75" s="311"/>
      <c r="N75" s="311">
        <f>SUM(E75:M75)</f>
        <v>70900</v>
      </c>
      <c r="O75" s="311">
        <v>4621.49</v>
      </c>
      <c r="P75" s="311">
        <v>6730.13</v>
      </c>
      <c r="Q75" s="311">
        <v>19565.74</v>
      </c>
      <c r="R75" s="311">
        <v>4101.8</v>
      </c>
      <c r="S75" s="311">
        <v>4236.61</v>
      </c>
      <c r="T75" s="311">
        <v>4368.45</v>
      </c>
      <c r="U75" s="311">
        <v>2778.31</v>
      </c>
      <c r="V75" s="311">
        <v>4631.12</v>
      </c>
      <c r="W75" s="311">
        <v>4867.12</v>
      </c>
      <c r="X75" s="311">
        <v>4623.12</v>
      </c>
      <c r="Y75" s="311">
        <f>800+4604.29</f>
        <v>5404.29</v>
      </c>
      <c r="Z75" s="311">
        <v>4523.12</v>
      </c>
      <c r="AA75" s="311">
        <f t="shared" si="22"/>
        <v>70451.3</v>
      </c>
      <c r="AB75" s="342">
        <f t="shared" si="15"/>
        <v>0.9936713681241185</v>
      </c>
      <c r="AC75" s="842"/>
    </row>
    <row r="76" spans="1:29" s="26" customFormat="1" ht="15.75" customHeight="1">
      <c r="A76" s="42"/>
      <c r="B76" s="42"/>
      <c r="C76" s="48">
        <v>4040</v>
      </c>
      <c r="D76" s="49" t="s">
        <v>531</v>
      </c>
      <c r="E76" s="311">
        <v>4613</v>
      </c>
      <c r="F76" s="311">
        <v>-103</v>
      </c>
      <c r="G76" s="311"/>
      <c r="H76" s="311"/>
      <c r="I76" s="311"/>
      <c r="J76" s="311"/>
      <c r="K76" s="320"/>
      <c r="L76" s="311"/>
      <c r="M76" s="311"/>
      <c r="N76" s="311">
        <f t="shared" si="21"/>
        <v>4510</v>
      </c>
      <c r="O76" s="311">
        <v>0</v>
      </c>
      <c r="P76" s="311">
        <v>0</v>
      </c>
      <c r="Q76" s="311">
        <v>4509.92</v>
      </c>
      <c r="R76" s="311">
        <v>0</v>
      </c>
      <c r="S76" s="311">
        <v>0</v>
      </c>
      <c r="T76" s="311">
        <v>0</v>
      </c>
      <c r="U76" s="311"/>
      <c r="V76" s="311"/>
      <c r="W76" s="311"/>
      <c r="X76" s="311"/>
      <c r="Y76" s="311"/>
      <c r="Z76" s="311"/>
      <c r="AA76" s="311">
        <f t="shared" si="22"/>
        <v>4509.92</v>
      </c>
      <c r="AB76" s="342">
        <f t="shared" si="15"/>
        <v>0.9999822616407983</v>
      </c>
      <c r="AC76" s="842"/>
    </row>
    <row r="77" spans="1:29" s="26" customFormat="1" ht="15.75" customHeight="1">
      <c r="A77" s="42"/>
      <c r="B77" s="42"/>
      <c r="C77" s="48">
        <v>4110</v>
      </c>
      <c r="D77" s="49" t="s">
        <v>1036</v>
      </c>
      <c r="E77" s="311">
        <v>11320</v>
      </c>
      <c r="F77" s="311"/>
      <c r="G77" s="311"/>
      <c r="H77" s="311"/>
      <c r="I77" s="311"/>
      <c r="J77" s="311"/>
      <c r="K77" s="320"/>
      <c r="L77" s="311">
        <v>-800</v>
      </c>
      <c r="M77" s="311"/>
      <c r="N77" s="311">
        <f t="shared" si="21"/>
        <v>10520</v>
      </c>
      <c r="O77" s="311">
        <v>805.98</v>
      </c>
      <c r="P77" s="311">
        <v>1173.73</v>
      </c>
      <c r="Q77" s="311">
        <v>1472.41</v>
      </c>
      <c r="R77" s="311">
        <v>721.1</v>
      </c>
      <c r="S77" s="311">
        <v>744.81</v>
      </c>
      <c r="T77" s="311">
        <v>767.97</v>
      </c>
      <c r="U77" s="311">
        <v>488.42</v>
      </c>
      <c r="V77" s="311">
        <v>814.15</v>
      </c>
      <c r="W77" s="311">
        <v>855.63</v>
      </c>
      <c r="X77" s="311">
        <v>812.74</v>
      </c>
      <c r="Y77" s="311">
        <f>140.64+679.07</f>
        <v>819.71</v>
      </c>
      <c r="Z77" s="311">
        <v>795.16</v>
      </c>
      <c r="AA77" s="311">
        <f t="shared" si="22"/>
        <v>10271.810000000001</v>
      </c>
      <c r="AB77" s="342">
        <f t="shared" si="15"/>
        <v>0.9764077946768062</v>
      </c>
      <c r="AC77" s="842"/>
    </row>
    <row r="78" spans="1:29" ht="15.75" customHeight="1">
      <c r="A78" s="42"/>
      <c r="B78" s="42"/>
      <c r="C78" s="48">
        <v>4120</v>
      </c>
      <c r="D78" s="49" t="s">
        <v>532</v>
      </c>
      <c r="E78" s="311">
        <v>1590</v>
      </c>
      <c r="F78" s="311"/>
      <c r="G78" s="311"/>
      <c r="H78" s="311"/>
      <c r="I78" s="311"/>
      <c r="J78" s="311"/>
      <c r="K78" s="320"/>
      <c r="L78" s="311">
        <v>-100</v>
      </c>
      <c r="M78" s="311"/>
      <c r="N78" s="311">
        <f>SUM(E78:M78)</f>
        <v>1490</v>
      </c>
      <c r="O78" s="311">
        <v>113.23</v>
      </c>
      <c r="P78" s="311">
        <v>164.89</v>
      </c>
      <c r="Q78" s="311">
        <v>206.84</v>
      </c>
      <c r="R78" s="311">
        <v>100.49</v>
      </c>
      <c r="S78" s="311">
        <v>103.8</v>
      </c>
      <c r="T78" s="311">
        <v>107.03</v>
      </c>
      <c r="U78" s="311">
        <v>68.07</v>
      </c>
      <c r="V78" s="311">
        <v>113.46</v>
      </c>
      <c r="W78" s="311">
        <v>119.24</v>
      </c>
      <c r="X78" s="311">
        <v>113.27</v>
      </c>
      <c r="Y78" s="311">
        <f>19.6+94.64</f>
        <v>114.24000000000001</v>
      </c>
      <c r="Z78" s="311">
        <v>110.82</v>
      </c>
      <c r="AA78" s="311">
        <f t="shared" si="22"/>
        <v>1435.3799999999999</v>
      </c>
      <c r="AB78" s="342">
        <f t="shared" si="15"/>
        <v>0.9633422818791946</v>
      </c>
      <c r="AC78" s="842"/>
    </row>
    <row r="79" spans="1:29" s="26" customFormat="1" ht="15.75" customHeight="1">
      <c r="A79" s="42"/>
      <c r="B79" s="42"/>
      <c r="C79" s="48">
        <v>4170</v>
      </c>
      <c r="D79" s="49" t="s">
        <v>533</v>
      </c>
      <c r="E79" s="311"/>
      <c r="F79" s="311"/>
      <c r="G79" s="311"/>
      <c r="H79" s="311"/>
      <c r="I79" s="311">
        <v>2567</v>
      </c>
      <c r="J79" s="311"/>
      <c r="K79" s="320"/>
      <c r="L79" s="311"/>
      <c r="M79" s="311"/>
      <c r="N79" s="311">
        <f>SUM(E79:M79)</f>
        <v>2567</v>
      </c>
      <c r="O79" s="311"/>
      <c r="P79" s="311"/>
      <c r="Q79" s="311"/>
      <c r="R79" s="311"/>
      <c r="S79" s="311"/>
      <c r="T79" s="311"/>
      <c r="U79" s="311">
        <v>2566.32</v>
      </c>
      <c r="V79" s="311"/>
      <c r="W79" s="311"/>
      <c r="X79" s="311"/>
      <c r="Y79" s="311"/>
      <c r="Z79" s="311"/>
      <c r="AA79" s="311">
        <f t="shared" si="22"/>
        <v>2566.32</v>
      </c>
      <c r="AB79" s="342">
        <f t="shared" si="15"/>
        <v>0.9997350993377484</v>
      </c>
      <c r="AC79" s="843"/>
    </row>
    <row r="80" spans="1:29" ht="18" customHeight="1">
      <c r="A80" s="42"/>
      <c r="B80" s="48"/>
      <c r="C80" s="48">
        <v>4210</v>
      </c>
      <c r="D80" s="49" t="s">
        <v>1201</v>
      </c>
      <c r="E80" s="311">
        <v>35000</v>
      </c>
      <c r="F80" s="311">
        <v>-569</v>
      </c>
      <c r="G80" s="311"/>
      <c r="H80" s="311"/>
      <c r="I80" s="311">
        <v>2000</v>
      </c>
      <c r="J80" s="311">
        <v>-1000</v>
      </c>
      <c r="K80" s="320"/>
      <c r="L80" s="311">
        <v>5700</v>
      </c>
      <c r="M80" s="311">
        <f>1205-160</f>
        <v>1045</v>
      </c>
      <c r="N80" s="311">
        <f t="shared" si="21"/>
        <v>42176</v>
      </c>
      <c r="O80" s="311">
        <v>1919.02</v>
      </c>
      <c r="P80" s="311">
        <v>3551.73</v>
      </c>
      <c r="Q80" s="311">
        <v>3110.66</v>
      </c>
      <c r="R80" s="311">
        <v>3100.45</v>
      </c>
      <c r="S80" s="311">
        <v>3227.4</v>
      </c>
      <c r="T80" s="311">
        <v>3319.88</v>
      </c>
      <c r="U80" s="311">
        <v>7369.78</v>
      </c>
      <c r="V80" s="311">
        <v>3288.46</v>
      </c>
      <c r="W80" s="311">
        <v>2805.6</v>
      </c>
      <c r="X80" s="311">
        <v>3286.92</v>
      </c>
      <c r="Y80" s="311">
        <v>2589.29</v>
      </c>
      <c r="Z80" s="311">
        <v>3292.55</v>
      </c>
      <c r="AA80" s="311">
        <f t="shared" si="22"/>
        <v>40861.74</v>
      </c>
      <c r="AB80" s="342">
        <f t="shared" si="15"/>
        <v>0.9688386760242792</v>
      </c>
      <c r="AC80" s="848" t="s">
        <v>1037</v>
      </c>
    </row>
    <row r="81" spans="1:29" ht="18.75" customHeight="1">
      <c r="A81" s="48"/>
      <c r="B81" s="48"/>
      <c r="C81" s="48">
        <v>4270</v>
      </c>
      <c r="D81" s="49" t="s">
        <v>1202</v>
      </c>
      <c r="E81" s="311">
        <v>7000</v>
      </c>
      <c r="F81" s="311"/>
      <c r="G81" s="311">
        <v>-3000</v>
      </c>
      <c r="H81" s="311"/>
      <c r="I81" s="311">
        <v>500</v>
      </c>
      <c r="J81" s="311">
        <v>1000</v>
      </c>
      <c r="K81" s="320">
        <v>1000</v>
      </c>
      <c r="L81" s="311">
        <v>-1000</v>
      </c>
      <c r="M81" s="311"/>
      <c r="N81" s="311">
        <f t="shared" si="21"/>
        <v>5500</v>
      </c>
      <c r="O81" s="311">
        <v>0</v>
      </c>
      <c r="P81" s="311">
        <v>480</v>
      </c>
      <c r="Q81" s="311">
        <v>970</v>
      </c>
      <c r="R81" s="311">
        <v>870</v>
      </c>
      <c r="S81" s="311">
        <v>288</v>
      </c>
      <c r="T81" s="311">
        <v>136</v>
      </c>
      <c r="U81" s="311">
        <v>315</v>
      </c>
      <c r="V81" s="311">
        <v>1428</v>
      </c>
      <c r="W81" s="311">
        <v>50</v>
      </c>
      <c r="X81" s="311">
        <v>230</v>
      </c>
      <c r="Y81" s="311">
        <v>68</v>
      </c>
      <c r="Z81" s="311"/>
      <c r="AA81" s="311">
        <f t="shared" si="22"/>
        <v>4835</v>
      </c>
      <c r="AB81" s="342">
        <f t="shared" si="15"/>
        <v>0.8790909090909091</v>
      </c>
      <c r="AC81" s="849"/>
    </row>
    <row r="82" spans="1:29" ht="24" customHeight="1">
      <c r="A82" s="42"/>
      <c r="B82" s="48"/>
      <c r="C82" s="48">
        <v>4300</v>
      </c>
      <c r="D82" s="49" t="s">
        <v>1203</v>
      </c>
      <c r="E82" s="311">
        <v>14347</v>
      </c>
      <c r="F82" s="311"/>
      <c r="G82" s="311">
        <v>2000</v>
      </c>
      <c r="H82" s="311"/>
      <c r="I82" s="311">
        <v>3000</v>
      </c>
      <c r="J82" s="311"/>
      <c r="K82" s="320">
        <v>3000</v>
      </c>
      <c r="L82" s="311">
        <v>4500</v>
      </c>
      <c r="M82" s="311">
        <v>1000</v>
      </c>
      <c r="N82" s="311">
        <f t="shared" si="21"/>
        <v>27847</v>
      </c>
      <c r="O82" s="311">
        <v>1384.2</v>
      </c>
      <c r="P82" s="311">
        <v>1919.65</v>
      </c>
      <c r="Q82" s="311">
        <v>1768.5</v>
      </c>
      <c r="R82" s="311">
        <v>2482.25</v>
      </c>
      <c r="S82" s="311">
        <v>1963.8</v>
      </c>
      <c r="T82" s="311">
        <v>3292.2</v>
      </c>
      <c r="U82" s="311">
        <v>2439.34</v>
      </c>
      <c r="V82" s="311">
        <v>3189.6</v>
      </c>
      <c r="W82" s="311">
        <v>1618.2</v>
      </c>
      <c r="X82" s="311">
        <v>2545.51</v>
      </c>
      <c r="Y82" s="311">
        <v>2167.2</v>
      </c>
      <c r="Z82" s="320">
        <v>1773.9</v>
      </c>
      <c r="AA82" s="311">
        <f t="shared" si="22"/>
        <v>26544.350000000002</v>
      </c>
      <c r="AB82" s="342">
        <f t="shared" si="15"/>
        <v>0.9532211728372896</v>
      </c>
      <c r="AC82" s="850"/>
    </row>
    <row r="83" spans="1:29" ht="63" customHeight="1">
      <c r="A83" s="42"/>
      <c r="B83" s="48"/>
      <c r="C83" s="48">
        <v>4430</v>
      </c>
      <c r="D83" s="49" t="s">
        <v>1210</v>
      </c>
      <c r="E83" s="311">
        <v>8000</v>
      </c>
      <c r="F83" s="311"/>
      <c r="G83" s="311">
        <v>1000</v>
      </c>
      <c r="H83" s="311"/>
      <c r="I83" s="311"/>
      <c r="J83" s="311"/>
      <c r="K83" s="320">
        <v>1000</v>
      </c>
      <c r="L83" s="311">
        <v>2000</v>
      </c>
      <c r="M83" s="311">
        <v>200</v>
      </c>
      <c r="N83" s="311">
        <f t="shared" si="21"/>
        <v>12200</v>
      </c>
      <c r="O83" s="311">
        <v>483.24</v>
      </c>
      <c r="P83" s="311">
        <v>1430</v>
      </c>
      <c r="Q83" s="311">
        <v>617.4</v>
      </c>
      <c r="R83" s="311">
        <v>1473.91</v>
      </c>
      <c r="S83" s="311">
        <v>1400.89</v>
      </c>
      <c r="T83" s="311">
        <v>1149.34</v>
      </c>
      <c r="U83" s="311">
        <v>768.53</v>
      </c>
      <c r="V83" s="311">
        <v>1113.52</v>
      </c>
      <c r="W83" s="311">
        <f>-170+564.93</f>
        <v>394.92999999999995</v>
      </c>
      <c r="X83" s="311">
        <v>1395.22</v>
      </c>
      <c r="Y83" s="311">
        <v>864.44</v>
      </c>
      <c r="Z83" s="320">
        <v>619.29</v>
      </c>
      <c r="AA83" s="311">
        <f t="shared" si="22"/>
        <v>11710.71</v>
      </c>
      <c r="AB83" s="342">
        <f t="shared" si="15"/>
        <v>0.9598942622950819</v>
      </c>
      <c r="AC83" s="715" t="s">
        <v>1038</v>
      </c>
    </row>
    <row r="84" spans="1:29" ht="28.5" customHeight="1">
      <c r="A84" s="42"/>
      <c r="B84" s="48"/>
      <c r="C84" s="48">
        <v>4440</v>
      </c>
      <c r="D84" s="49" t="s">
        <v>1018</v>
      </c>
      <c r="E84" s="311">
        <v>1880</v>
      </c>
      <c r="F84" s="311"/>
      <c r="G84" s="311"/>
      <c r="H84" s="311"/>
      <c r="I84" s="311">
        <v>-2</v>
      </c>
      <c r="J84" s="311"/>
      <c r="K84" s="320"/>
      <c r="L84" s="311"/>
      <c r="M84" s="311"/>
      <c r="N84" s="311">
        <f>SUM(E84:M84)</f>
        <v>1878</v>
      </c>
      <c r="O84" s="311">
        <v>0</v>
      </c>
      <c r="P84" s="311">
        <v>0</v>
      </c>
      <c r="Q84" s="311">
        <v>0</v>
      </c>
      <c r="R84" s="311">
        <v>0</v>
      </c>
      <c r="S84" s="311">
        <v>782.25</v>
      </c>
      <c r="T84" s="311">
        <v>156.45</v>
      </c>
      <c r="U84" s="311">
        <v>156.45</v>
      </c>
      <c r="V84" s="311">
        <v>156.45</v>
      </c>
      <c r="W84" s="311">
        <v>156.45</v>
      </c>
      <c r="X84" s="311">
        <v>156.45</v>
      </c>
      <c r="Y84" s="311">
        <v>156.45</v>
      </c>
      <c r="Z84" s="311">
        <f>Y84</f>
        <v>156.45</v>
      </c>
      <c r="AA84" s="311">
        <f t="shared" si="22"/>
        <v>1877.4000000000003</v>
      </c>
      <c r="AB84" s="342">
        <f t="shared" si="15"/>
        <v>0.9996805111821088</v>
      </c>
      <c r="AC84" s="715" t="s">
        <v>1019</v>
      </c>
    </row>
    <row r="85" spans="1:29" ht="12.75">
      <c r="A85" s="42"/>
      <c r="B85" s="48"/>
      <c r="C85" s="48">
        <v>4530</v>
      </c>
      <c r="D85" s="49" t="s">
        <v>1020</v>
      </c>
      <c r="E85" s="311"/>
      <c r="F85" s="311">
        <v>500</v>
      </c>
      <c r="G85" s="311"/>
      <c r="H85" s="311"/>
      <c r="I85" s="311">
        <v>400</v>
      </c>
      <c r="J85" s="311"/>
      <c r="K85" s="320"/>
      <c r="L85" s="311">
        <v>100</v>
      </c>
      <c r="M85" s="311"/>
      <c r="N85" s="311">
        <f t="shared" si="21"/>
        <v>1000</v>
      </c>
      <c r="O85" s="311">
        <v>52.62</v>
      </c>
      <c r="P85" s="311">
        <v>71.39</v>
      </c>
      <c r="Q85" s="311">
        <v>72.89</v>
      </c>
      <c r="R85" s="311">
        <v>93.56</v>
      </c>
      <c r="S85" s="311">
        <v>71.52</v>
      </c>
      <c r="T85" s="311">
        <v>100.92</v>
      </c>
      <c r="U85" s="311">
        <v>71.51</v>
      </c>
      <c r="V85" s="311">
        <v>120.57</v>
      </c>
      <c r="W85" s="311">
        <v>74.38</v>
      </c>
      <c r="X85" s="311">
        <v>52.05</v>
      </c>
      <c r="Y85" s="311">
        <v>66.98</v>
      </c>
      <c r="Z85" s="311">
        <v>47.15</v>
      </c>
      <c r="AA85" s="311">
        <f t="shared" si="22"/>
        <v>895.54</v>
      </c>
      <c r="AB85" s="342">
        <f t="shared" si="15"/>
        <v>0.89554</v>
      </c>
      <c r="AC85" s="715" t="s">
        <v>1021</v>
      </c>
    </row>
    <row r="86" spans="1:29" s="26" customFormat="1" ht="32.25" customHeight="1">
      <c r="A86" s="42"/>
      <c r="B86" s="339">
        <v>90004</v>
      </c>
      <c r="C86" s="339"/>
      <c r="D86" s="341" t="s">
        <v>1039</v>
      </c>
      <c r="E86" s="306">
        <f aca="true" t="shared" si="23" ref="E86:AA86">SUM(E87:E97)</f>
        <v>60000</v>
      </c>
      <c r="F86" s="306">
        <f t="shared" si="23"/>
        <v>0</v>
      </c>
      <c r="G86" s="306">
        <f t="shared" si="23"/>
        <v>0</v>
      </c>
      <c r="H86" s="306">
        <f>SUM(H87:H97)</f>
        <v>0</v>
      </c>
      <c r="I86" s="306">
        <f>SUM(I87:I97)</f>
        <v>0</v>
      </c>
      <c r="J86" s="306">
        <f>SUM(J87:J97)</f>
        <v>0</v>
      </c>
      <c r="K86" s="318">
        <f>SUM(K87:K97)</f>
        <v>0</v>
      </c>
      <c r="L86" s="306">
        <f>SUM(L87:L97)</f>
        <v>0</v>
      </c>
      <c r="M86" s="306">
        <f t="shared" si="23"/>
        <v>0</v>
      </c>
      <c r="N86" s="306">
        <f t="shared" si="23"/>
        <v>60000</v>
      </c>
      <c r="O86" s="306">
        <f t="shared" si="23"/>
        <v>2871.8300000000004</v>
      </c>
      <c r="P86" s="306">
        <f t="shared" si="23"/>
        <v>2634.07</v>
      </c>
      <c r="Q86" s="306">
        <f t="shared" si="23"/>
        <v>6991.08</v>
      </c>
      <c r="R86" s="306">
        <f t="shared" si="23"/>
        <v>5419.369999999999</v>
      </c>
      <c r="S86" s="306">
        <f t="shared" si="23"/>
        <v>6626.81</v>
      </c>
      <c r="T86" s="306">
        <f t="shared" si="23"/>
        <v>7937.040000000002</v>
      </c>
      <c r="U86" s="306">
        <f t="shared" si="23"/>
        <v>5060.74</v>
      </c>
      <c r="V86" s="306">
        <f t="shared" si="23"/>
        <v>7077.040000000001</v>
      </c>
      <c r="W86" s="306">
        <f t="shared" si="23"/>
        <v>2921.0899999999997</v>
      </c>
      <c r="X86" s="306">
        <f t="shared" si="23"/>
        <v>4989.110000000001</v>
      </c>
      <c r="Y86" s="306">
        <f t="shared" si="23"/>
        <v>3678.3099999999995</v>
      </c>
      <c r="Z86" s="306">
        <f t="shared" si="23"/>
        <v>3788.2000000000003</v>
      </c>
      <c r="AA86" s="306">
        <f t="shared" si="23"/>
        <v>59994.69</v>
      </c>
      <c r="AB86" s="713">
        <f t="shared" si="15"/>
        <v>0.9999115000000001</v>
      </c>
      <c r="AC86" s="719" t="s">
        <v>439</v>
      </c>
    </row>
    <row r="87" spans="1:29" ht="29.25" customHeight="1">
      <c r="A87" s="42"/>
      <c r="B87" s="48"/>
      <c r="C87" s="48">
        <v>3020</v>
      </c>
      <c r="D87" s="49" t="s">
        <v>440</v>
      </c>
      <c r="E87" s="311"/>
      <c r="F87" s="311">
        <v>84</v>
      </c>
      <c r="G87" s="311"/>
      <c r="H87" s="311"/>
      <c r="I87" s="311"/>
      <c r="J87" s="311"/>
      <c r="K87" s="320">
        <v>-3</v>
      </c>
      <c r="L87" s="311"/>
      <c r="M87" s="311">
        <v>92</v>
      </c>
      <c r="N87" s="311">
        <f aca="true" t="shared" si="24" ref="N87:N97">SUM(E87:M87)</f>
        <v>173</v>
      </c>
      <c r="O87" s="311"/>
      <c r="P87" s="311">
        <v>0</v>
      </c>
      <c r="Q87" s="311">
        <v>21</v>
      </c>
      <c r="R87" s="311"/>
      <c r="S87" s="311">
        <v>0</v>
      </c>
      <c r="T87" s="311">
        <v>0</v>
      </c>
      <c r="U87" s="311">
        <v>21</v>
      </c>
      <c r="V87" s="311"/>
      <c r="W87" s="311">
        <v>17.5</v>
      </c>
      <c r="X87" s="311"/>
      <c r="Y87" s="311"/>
      <c r="Z87" s="311">
        <f>21+76.65+15.8</f>
        <v>113.45</v>
      </c>
      <c r="AA87" s="311">
        <f aca="true" t="shared" si="25" ref="AA87:AA97">SUM(O87:Z87)</f>
        <v>172.95</v>
      </c>
      <c r="AB87" s="342">
        <f t="shared" si="15"/>
        <v>0.9997109826589595</v>
      </c>
      <c r="AC87" s="835" t="s">
        <v>1040</v>
      </c>
    </row>
    <row r="88" spans="1:29" ht="25.5">
      <c r="A88" s="42"/>
      <c r="B88" s="48"/>
      <c r="C88" s="48">
        <v>4010</v>
      </c>
      <c r="D88" s="49" t="s">
        <v>524</v>
      </c>
      <c r="E88" s="311">
        <v>27800</v>
      </c>
      <c r="F88" s="311"/>
      <c r="G88" s="311"/>
      <c r="H88" s="311"/>
      <c r="I88" s="311"/>
      <c r="J88" s="311"/>
      <c r="K88" s="320">
        <f>669+300</f>
        <v>969</v>
      </c>
      <c r="L88" s="311"/>
      <c r="M88" s="311">
        <v>-420</v>
      </c>
      <c r="N88" s="311">
        <f>SUM(E88:M88)</f>
        <v>28349</v>
      </c>
      <c r="O88" s="311">
        <v>2395.38</v>
      </c>
      <c r="P88" s="311">
        <v>2195.38</v>
      </c>
      <c r="Q88" s="311">
        <v>2195.38</v>
      </c>
      <c r="R88" s="311">
        <v>2195.38</v>
      </c>
      <c r="S88" s="311">
        <v>2502.08</v>
      </c>
      <c r="T88" s="311">
        <v>2256.72</v>
      </c>
      <c r="U88" s="311">
        <v>2256.72</v>
      </c>
      <c r="V88" s="311">
        <v>2484.72</v>
      </c>
      <c r="W88" s="311">
        <v>2496.72</v>
      </c>
      <c r="X88" s="311">
        <v>2256.72</v>
      </c>
      <c r="Y88" s="311">
        <f>400+2456.72</f>
        <v>2856.72</v>
      </c>
      <c r="Z88" s="311">
        <v>2256.72</v>
      </c>
      <c r="AA88" s="311">
        <f t="shared" si="25"/>
        <v>28348.640000000003</v>
      </c>
      <c r="AB88" s="342">
        <f t="shared" si="15"/>
        <v>0.9999873011393701</v>
      </c>
      <c r="AC88" s="836"/>
    </row>
    <row r="89" spans="1:29" ht="12.75">
      <c r="A89" s="42"/>
      <c r="B89" s="48"/>
      <c r="C89" s="48">
        <v>4040</v>
      </c>
      <c r="D89" s="49" t="s">
        <v>531</v>
      </c>
      <c r="E89" s="311">
        <v>2073</v>
      </c>
      <c r="F89" s="311">
        <v>-49</v>
      </c>
      <c r="G89" s="311"/>
      <c r="H89" s="311"/>
      <c r="I89" s="311"/>
      <c r="J89" s="311"/>
      <c r="K89" s="320"/>
      <c r="L89" s="311"/>
      <c r="M89" s="311"/>
      <c r="N89" s="311">
        <f t="shared" si="24"/>
        <v>2024</v>
      </c>
      <c r="O89" s="311">
        <v>0</v>
      </c>
      <c r="P89" s="311">
        <v>0</v>
      </c>
      <c r="Q89" s="311">
        <v>2023.42</v>
      </c>
      <c r="R89" s="311">
        <v>0</v>
      </c>
      <c r="S89" s="311">
        <v>0</v>
      </c>
      <c r="T89" s="311">
        <v>0</v>
      </c>
      <c r="U89" s="311"/>
      <c r="V89" s="311"/>
      <c r="W89" s="311"/>
      <c r="X89" s="311"/>
      <c r="Y89" s="311"/>
      <c r="Z89" s="311"/>
      <c r="AA89" s="311">
        <f t="shared" si="25"/>
        <v>2023.42</v>
      </c>
      <c r="AB89" s="342">
        <f t="shared" si="15"/>
        <v>0.9997134387351779</v>
      </c>
      <c r="AC89" s="836"/>
    </row>
    <row r="90" spans="1:29" ht="25.5">
      <c r="A90" s="42"/>
      <c r="B90" s="48"/>
      <c r="C90" s="48">
        <v>4110</v>
      </c>
      <c r="D90" s="49" t="s">
        <v>525</v>
      </c>
      <c r="E90" s="311">
        <v>5209</v>
      </c>
      <c r="F90" s="311"/>
      <c r="G90" s="311"/>
      <c r="H90" s="311"/>
      <c r="I90" s="311"/>
      <c r="J90" s="311"/>
      <c r="K90" s="320">
        <f>140+53</f>
        <v>193</v>
      </c>
      <c r="L90" s="311"/>
      <c r="M90" s="311">
        <v>-74</v>
      </c>
      <c r="N90" s="311">
        <f t="shared" si="24"/>
        <v>5328</v>
      </c>
      <c r="O90" s="311">
        <v>417.76</v>
      </c>
      <c r="P90" s="311">
        <v>382.88</v>
      </c>
      <c r="Q90" s="311">
        <v>735.75</v>
      </c>
      <c r="R90" s="311">
        <v>385.95</v>
      </c>
      <c r="S90" s="311">
        <v>439.87</v>
      </c>
      <c r="T90" s="311">
        <v>396.74</v>
      </c>
      <c r="U90" s="311">
        <v>396.74</v>
      </c>
      <c r="V90" s="311">
        <v>436.82</v>
      </c>
      <c r="W90" s="311">
        <v>438.93</v>
      </c>
      <c r="X90" s="311">
        <v>396.74</v>
      </c>
      <c r="Y90" s="311">
        <f>70.32+431.9</f>
        <v>502.21999999999997</v>
      </c>
      <c r="Z90" s="311">
        <v>396.74</v>
      </c>
      <c r="AA90" s="311">
        <f t="shared" si="25"/>
        <v>5327.139999999999</v>
      </c>
      <c r="AB90" s="342">
        <f t="shared" si="15"/>
        <v>0.9998385885885884</v>
      </c>
      <c r="AC90" s="836"/>
    </row>
    <row r="91" spans="1:29" ht="12.75">
      <c r="A91" s="42"/>
      <c r="B91" s="48"/>
      <c r="C91" s="48">
        <v>4120</v>
      </c>
      <c r="D91" s="49" t="s">
        <v>532</v>
      </c>
      <c r="E91" s="311">
        <v>731</v>
      </c>
      <c r="F91" s="311"/>
      <c r="G91" s="311"/>
      <c r="H91" s="311"/>
      <c r="I91" s="311"/>
      <c r="J91" s="311"/>
      <c r="K91" s="320">
        <f>16+8</f>
        <v>24</v>
      </c>
      <c r="L91" s="311"/>
      <c r="M91" s="311">
        <v>-10</v>
      </c>
      <c r="N91" s="311">
        <f t="shared" si="24"/>
        <v>745</v>
      </c>
      <c r="O91" s="311">
        <v>58.69</v>
      </c>
      <c r="P91" s="311">
        <v>53.79</v>
      </c>
      <c r="Q91" s="311">
        <v>103.36</v>
      </c>
      <c r="R91" s="311">
        <v>53.79</v>
      </c>
      <c r="S91" s="311">
        <v>61.3</v>
      </c>
      <c r="T91" s="311">
        <v>55.28</v>
      </c>
      <c r="U91" s="311">
        <v>55.29</v>
      </c>
      <c r="V91" s="311">
        <v>60.88</v>
      </c>
      <c r="W91" s="311">
        <v>61.17</v>
      </c>
      <c r="X91" s="311">
        <v>55.29</v>
      </c>
      <c r="Y91" s="311">
        <f>9.8+60.19</f>
        <v>69.99</v>
      </c>
      <c r="Z91" s="311">
        <v>55.29</v>
      </c>
      <c r="AA91" s="311">
        <f t="shared" si="25"/>
        <v>744.12</v>
      </c>
      <c r="AB91" s="342">
        <f t="shared" si="15"/>
        <v>0.9988187919463087</v>
      </c>
      <c r="AC91" s="837"/>
    </row>
    <row r="92" spans="1:29" ht="60.75" customHeight="1">
      <c r="A92" s="42"/>
      <c r="B92" s="48"/>
      <c r="C92" s="48">
        <v>4170</v>
      </c>
      <c r="D92" s="49" t="s">
        <v>533</v>
      </c>
      <c r="E92" s="311"/>
      <c r="F92" s="311">
        <v>1700</v>
      </c>
      <c r="G92" s="311"/>
      <c r="H92" s="311"/>
      <c r="I92" s="311"/>
      <c r="J92" s="311"/>
      <c r="K92" s="320">
        <v>27</v>
      </c>
      <c r="L92" s="311"/>
      <c r="M92" s="311"/>
      <c r="N92" s="311">
        <f t="shared" si="24"/>
        <v>1727</v>
      </c>
      <c r="O92" s="311">
        <v>0</v>
      </c>
      <c r="P92" s="311">
        <v>0</v>
      </c>
      <c r="Q92" s="311">
        <v>0</v>
      </c>
      <c r="R92" s="311">
        <v>0</v>
      </c>
      <c r="S92" s="311">
        <v>230.08</v>
      </c>
      <c r="T92" s="311">
        <v>337.46</v>
      </c>
      <c r="U92" s="311">
        <v>337.46</v>
      </c>
      <c r="V92" s="311">
        <v>337.46</v>
      </c>
      <c r="W92" s="311">
        <v>337.46</v>
      </c>
      <c r="X92" s="311">
        <v>146.72</v>
      </c>
      <c r="Y92" s="311"/>
      <c r="Z92" s="311"/>
      <c r="AA92" s="311">
        <f t="shared" si="25"/>
        <v>1726.64</v>
      </c>
      <c r="AB92" s="342">
        <f t="shared" si="15"/>
        <v>0.9997915460335843</v>
      </c>
      <c r="AC92" s="715" t="s">
        <v>636</v>
      </c>
    </row>
    <row r="93" spans="1:29" ht="21" customHeight="1">
      <c r="A93" s="42"/>
      <c r="B93" s="48"/>
      <c r="C93" s="48">
        <v>4210</v>
      </c>
      <c r="D93" s="49" t="s">
        <v>1201</v>
      </c>
      <c r="E93" s="311">
        <v>17377</v>
      </c>
      <c r="F93" s="311"/>
      <c r="G93" s="311">
        <v>600</v>
      </c>
      <c r="H93" s="311"/>
      <c r="I93" s="311">
        <v>705</v>
      </c>
      <c r="J93" s="311"/>
      <c r="K93" s="320">
        <v>-260</v>
      </c>
      <c r="L93" s="311">
        <v>-300</v>
      </c>
      <c r="M93" s="311">
        <v>590</v>
      </c>
      <c r="N93" s="311">
        <f t="shared" si="24"/>
        <v>18712</v>
      </c>
      <c r="O93" s="311">
        <v>0</v>
      </c>
      <c r="P93" s="311">
        <v>0</v>
      </c>
      <c r="Q93" s="311">
        <v>1908.44</v>
      </c>
      <c r="R93" s="311">
        <v>2652.77</v>
      </c>
      <c r="S93" s="311">
        <v>2850.38</v>
      </c>
      <c r="T93" s="311">
        <v>4226.02</v>
      </c>
      <c r="U93" s="311">
        <v>1707.58</v>
      </c>
      <c r="V93" s="311">
        <v>3086.31</v>
      </c>
      <c r="W93" s="311">
        <v>-594.92</v>
      </c>
      <c r="X93" s="311">
        <v>1942.62</v>
      </c>
      <c r="Y93" s="311">
        <v>91.4</v>
      </c>
      <c r="Z93" s="311">
        <f>39.59+8.88+54.36+530+70.36+137.5</f>
        <v>840.69</v>
      </c>
      <c r="AA93" s="311">
        <f t="shared" si="25"/>
        <v>18711.29</v>
      </c>
      <c r="AB93" s="342">
        <f t="shared" si="15"/>
        <v>0.9999620564343737</v>
      </c>
      <c r="AC93" s="848" t="s">
        <v>511</v>
      </c>
    </row>
    <row r="94" spans="1:29" ht="21" customHeight="1">
      <c r="A94" s="42"/>
      <c r="B94" s="48"/>
      <c r="C94" s="48">
        <v>4270</v>
      </c>
      <c r="D94" s="49" t="s">
        <v>1202</v>
      </c>
      <c r="E94" s="311">
        <v>4000</v>
      </c>
      <c r="F94" s="311">
        <v>-1235</v>
      </c>
      <c r="G94" s="311">
        <v>-1000</v>
      </c>
      <c r="H94" s="311"/>
      <c r="I94" s="311">
        <v>-800</v>
      </c>
      <c r="J94" s="311">
        <v>500</v>
      </c>
      <c r="K94" s="320">
        <v>-400</v>
      </c>
      <c r="L94" s="311">
        <v>200</v>
      </c>
      <c r="M94" s="311">
        <v>-144</v>
      </c>
      <c r="N94" s="311">
        <f t="shared" si="24"/>
        <v>1121</v>
      </c>
      <c r="O94" s="311">
        <v>0</v>
      </c>
      <c r="P94" s="311">
        <v>0</v>
      </c>
      <c r="Q94" s="311">
        <v>0</v>
      </c>
      <c r="R94" s="311">
        <v>0</v>
      </c>
      <c r="S94" s="311">
        <v>50</v>
      </c>
      <c r="T94" s="311">
        <v>420</v>
      </c>
      <c r="U94" s="311">
        <v>110</v>
      </c>
      <c r="V94" s="311">
        <v>395.08</v>
      </c>
      <c r="W94" s="311">
        <v>65</v>
      </c>
      <c r="X94" s="311"/>
      <c r="Y94" s="311">
        <v>80</v>
      </c>
      <c r="Z94" s="311"/>
      <c r="AA94" s="311">
        <f t="shared" si="25"/>
        <v>1120.08</v>
      </c>
      <c r="AB94" s="342">
        <f t="shared" si="15"/>
        <v>0.9991793041926851</v>
      </c>
      <c r="AC94" s="849"/>
    </row>
    <row r="95" spans="1:29" ht="21" customHeight="1">
      <c r="A95" s="42"/>
      <c r="B95" s="48"/>
      <c r="C95" s="48">
        <v>4300</v>
      </c>
      <c r="D95" s="49" t="s">
        <v>1203</v>
      </c>
      <c r="E95" s="311">
        <v>2000</v>
      </c>
      <c r="F95" s="311">
        <v>-1000</v>
      </c>
      <c r="G95" s="311"/>
      <c r="H95" s="311"/>
      <c r="I95" s="311"/>
      <c r="J95" s="311">
        <v>-500</v>
      </c>
      <c r="K95" s="320">
        <v>-500</v>
      </c>
      <c r="L95" s="311"/>
      <c r="M95" s="311"/>
      <c r="N95" s="311">
        <f t="shared" si="24"/>
        <v>0</v>
      </c>
      <c r="O95" s="311">
        <v>0</v>
      </c>
      <c r="P95" s="311">
        <v>0</v>
      </c>
      <c r="Q95" s="311">
        <v>0</v>
      </c>
      <c r="R95" s="311">
        <v>0</v>
      </c>
      <c r="S95" s="311">
        <v>0</v>
      </c>
      <c r="T95" s="311">
        <v>0</v>
      </c>
      <c r="U95" s="311">
        <v>0</v>
      </c>
      <c r="V95" s="311"/>
      <c r="W95" s="311"/>
      <c r="X95" s="311"/>
      <c r="Y95" s="311"/>
      <c r="Z95" s="311"/>
      <c r="AA95" s="311">
        <f t="shared" si="25"/>
        <v>0</v>
      </c>
      <c r="AB95" s="342"/>
      <c r="AC95" s="850"/>
    </row>
    <row r="96" spans="1:29" ht="31.5" customHeight="1">
      <c r="A96" s="42"/>
      <c r="B96" s="48"/>
      <c r="C96" s="48">
        <v>4440</v>
      </c>
      <c r="D96" s="49" t="s">
        <v>1018</v>
      </c>
      <c r="E96" s="311">
        <v>810</v>
      </c>
      <c r="F96" s="311"/>
      <c r="G96" s="311"/>
      <c r="H96" s="311"/>
      <c r="I96" s="311">
        <v>-5</v>
      </c>
      <c r="J96" s="311"/>
      <c r="K96" s="320"/>
      <c r="L96" s="311"/>
      <c r="M96" s="311"/>
      <c r="N96" s="311">
        <f>SUM(E96:M96)</f>
        <v>805</v>
      </c>
      <c r="O96" s="311">
        <v>0</v>
      </c>
      <c r="P96" s="311">
        <v>0</v>
      </c>
      <c r="Q96" s="311">
        <v>0</v>
      </c>
      <c r="R96" s="311">
        <v>0</v>
      </c>
      <c r="S96" s="311">
        <v>335.25</v>
      </c>
      <c r="T96" s="311">
        <v>67.05</v>
      </c>
      <c r="U96" s="311">
        <v>67.05</v>
      </c>
      <c r="V96" s="311">
        <v>67.05</v>
      </c>
      <c r="W96" s="311">
        <v>67.05</v>
      </c>
      <c r="X96" s="311">
        <v>67.05</v>
      </c>
      <c r="Y96" s="311">
        <v>67.05</v>
      </c>
      <c r="Z96" s="311">
        <f>Y96</f>
        <v>67.05</v>
      </c>
      <c r="AA96" s="311">
        <f t="shared" si="25"/>
        <v>804.5999999999998</v>
      </c>
      <c r="AB96" s="342">
        <f t="shared" si="15"/>
        <v>0.9995031055900618</v>
      </c>
      <c r="AC96" s="715" t="s">
        <v>1019</v>
      </c>
    </row>
    <row r="97" spans="1:29" ht="12.75">
      <c r="A97" s="42"/>
      <c r="B97" s="48"/>
      <c r="C97" s="48">
        <v>4530</v>
      </c>
      <c r="D97" s="49" t="s">
        <v>1020</v>
      </c>
      <c r="E97" s="311"/>
      <c r="F97" s="311">
        <v>500</v>
      </c>
      <c r="G97" s="311">
        <v>400</v>
      </c>
      <c r="H97" s="311"/>
      <c r="I97" s="311">
        <v>100</v>
      </c>
      <c r="J97" s="311"/>
      <c r="K97" s="320">
        <v>-50</v>
      </c>
      <c r="L97" s="311">
        <v>100</v>
      </c>
      <c r="M97" s="311">
        <v>-34</v>
      </c>
      <c r="N97" s="311">
        <f t="shared" si="24"/>
        <v>1016</v>
      </c>
      <c r="O97" s="311">
        <v>0</v>
      </c>
      <c r="P97" s="311">
        <v>2.02</v>
      </c>
      <c r="Q97" s="311">
        <v>3.73</v>
      </c>
      <c r="R97" s="311">
        <v>131.48</v>
      </c>
      <c r="S97" s="311">
        <v>157.85</v>
      </c>
      <c r="T97" s="311">
        <v>177.77</v>
      </c>
      <c r="U97" s="311">
        <v>108.9</v>
      </c>
      <c r="V97" s="311">
        <v>208.72</v>
      </c>
      <c r="W97" s="311">
        <v>32.18</v>
      </c>
      <c r="X97" s="311">
        <v>123.97</v>
      </c>
      <c r="Y97" s="311">
        <v>10.93</v>
      </c>
      <c r="Z97" s="311">
        <v>58.26</v>
      </c>
      <c r="AA97" s="311">
        <f t="shared" si="25"/>
        <v>1015.81</v>
      </c>
      <c r="AB97" s="342">
        <f t="shared" si="15"/>
        <v>0.9998129921259842</v>
      </c>
      <c r="AC97" s="715" t="s">
        <v>1021</v>
      </c>
    </row>
    <row r="98" spans="1:29" ht="12.75">
      <c r="A98" s="42"/>
      <c r="B98" s="339">
        <v>90095</v>
      </c>
      <c r="C98" s="339"/>
      <c r="D98" s="341" t="s">
        <v>99</v>
      </c>
      <c r="E98" s="306">
        <f>SUM(E99:E117)</f>
        <v>528786</v>
      </c>
      <c r="F98" s="306">
        <f>SUM(F99:F117)</f>
        <v>0</v>
      </c>
      <c r="G98" s="306">
        <f>SUM(G99:G117)</f>
        <v>0</v>
      </c>
      <c r="H98" s="306">
        <f>SUM(H99:H117)</f>
        <v>0</v>
      </c>
      <c r="I98" s="306">
        <f>SUM(I99:I119)</f>
        <v>326028</v>
      </c>
      <c r="J98" s="306">
        <f>SUM(J99:J119)</f>
        <v>0</v>
      </c>
      <c r="K98" s="318">
        <f aca="true" t="shared" si="26" ref="K98:Z98">SUM(K99:K119)</f>
        <v>39264</v>
      </c>
      <c r="L98" s="306">
        <f>SUM(L99:L119)</f>
        <v>172100</v>
      </c>
      <c r="M98" s="306">
        <f>SUM(M99:M119)</f>
        <v>121612</v>
      </c>
      <c r="N98" s="306">
        <f t="shared" si="26"/>
        <v>1187790</v>
      </c>
      <c r="O98" s="306">
        <f t="shared" si="26"/>
        <v>52998.44000000001</v>
      </c>
      <c r="P98" s="306">
        <f t="shared" si="26"/>
        <v>68009.1</v>
      </c>
      <c r="Q98" s="306">
        <f t="shared" si="26"/>
        <v>70510.5</v>
      </c>
      <c r="R98" s="306">
        <f t="shared" si="26"/>
        <v>47084.78999999999</v>
      </c>
      <c r="S98" s="306">
        <f t="shared" si="26"/>
        <v>55257.41999999999</v>
      </c>
      <c r="T98" s="306">
        <f t="shared" si="26"/>
        <v>58174.5</v>
      </c>
      <c r="U98" s="306">
        <f t="shared" si="26"/>
        <v>49792.119999999995</v>
      </c>
      <c r="V98" s="306">
        <f t="shared" si="26"/>
        <v>149251.41</v>
      </c>
      <c r="W98" s="306">
        <f t="shared" si="26"/>
        <v>74210.90999999999</v>
      </c>
      <c r="X98" s="306">
        <f t="shared" si="26"/>
        <v>110250.21999999999</v>
      </c>
      <c r="Y98" s="306">
        <f t="shared" si="26"/>
        <v>196003.08</v>
      </c>
      <c r="Z98" s="306">
        <f t="shared" si="26"/>
        <v>242657.87</v>
      </c>
      <c r="AA98" s="306">
        <f>SUM(AA99:AA119)</f>
        <v>1174200.3599999999</v>
      </c>
      <c r="AB98" s="713">
        <f t="shared" si="15"/>
        <v>0.9885588866718863</v>
      </c>
      <c r="AC98" s="719" t="s">
        <v>439</v>
      </c>
    </row>
    <row r="99" spans="1:29" ht="27.75" customHeight="1">
      <c r="A99" s="48"/>
      <c r="B99" s="48"/>
      <c r="C99" s="48">
        <v>3020</v>
      </c>
      <c r="D99" s="49" t="s">
        <v>440</v>
      </c>
      <c r="E99" s="311"/>
      <c r="F99" s="311">
        <v>2000</v>
      </c>
      <c r="G99" s="311"/>
      <c r="H99" s="311"/>
      <c r="I99" s="311">
        <v>500</v>
      </c>
      <c r="J99" s="311"/>
      <c r="K99" s="320"/>
      <c r="L99" s="311"/>
      <c r="M99" s="320">
        <v>2600</v>
      </c>
      <c r="N99" s="311">
        <f aca="true" t="shared" si="27" ref="N99:N119">SUM(E99:M99)</f>
        <v>5100</v>
      </c>
      <c r="O99" s="311"/>
      <c r="P99" s="311">
        <v>24.3</v>
      </c>
      <c r="Q99" s="311">
        <v>436.3</v>
      </c>
      <c r="R99" s="311">
        <v>538.96</v>
      </c>
      <c r="S99" s="311">
        <v>404.8</v>
      </c>
      <c r="T99" s="311">
        <v>48.6</v>
      </c>
      <c r="U99" s="311">
        <v>234.1</v>
      </c>
      <c r="V99" s="311">
        <v>-485.7</v>
      </c>
      <c r="W99" s="311">
        <v>153.8</v>
      </c>
      <c r="X99" s="311">
        <v>24.3</v>
      </c>
      <c r="Y99" s="311">
        <v>24.3</v>
      </c>
      <c r="Z99" s="311">
        <v>3478.01</v>
      </c>
      <c r="AA99" s="311">
        <f aca="true" t="shared" si="28" ref="AA99:AA119">SUM(O99:Z99)</f>
        <v>4881.77</v>
      </c>
      <c r="AB99" s="342">
        <f t="shared" si="15"/>
        <v>0.9572098039215687</v>
      </c>
      <c r="AC99" s="841" t="s">
        <v>1026</v>
      </c>
    </row>
    <row r="100" spans="1:29" ht="26.25" customHeight="1">
      <c r="A100" s="48"/>
      <c r="B100" s="48"/>
      <c r="C100" s="48">
        <v>4010</v>
      </c>
      <c r="D100" s="49" t="s">
        <v>524</v>
      </c>
      <c r="E100" s="311">
        <v>233600</v>
      </c>
      <c r="F100" s="311"/>
      <c r="G100" s="311"/>
      <c r="H100" s="311"/>
      <c r="I100" s="311">
        <v>33000</v>
      </c>
      <c r="J100" s="311"/>
      <c r="K100" s="320"/>
      <c r="L100" s="320">
        <f>25000+1000</f>
        <v>26000</v>
      </c>
      <c r="M100" s="320"/>
      <c r="N100" s="311">
        <f>SUM(E100:M100)</f>
        <v>292600</v>
      </c>
      <c r="O100" s="311">
        <v>19528.27</v>
      </c>
      <c r="P100" s="311">
        <v>19640.52</v>
      </c>
      <c r="Q100" s="311">
        <v>19702.48</v>
      </c>
      <c r="R100" s="311">
        <v>23824.6</v>
      </c>
      <c r="S100" s="311">
        <v>26630.42</v>
      </c>
      <c r="T100" s="311">
        <v>24540.71</v>
      </c>
      <c r="U100" s="311">
        <v>21953.63</v>
      </c>
      <c r="V100" s="311">
        <v>23481</v>
      </c>
      <c r="W100" s="311">
        <v>25073.95</v>
      </c>
      <c r="X100" s="311">
        <v>26961.15</v>
      </c>
      <c r="Y100" s="311">
        <f>4400+27450.64+2196.9</f>
        <v>34047.54</v>
      </c>
      <c r="Z100" s="311">
        <v>24952.54</v>
      </c>
      <c r="AA100" s="311">
        <f t="shared" si="28"/>
        <v>290336.81</v>
      </c>
      <c r="AB100" s="342">
        <f t="shared" si="15"/>
        <v>0.9922652426520847</v>
      </c>
      <c r="AC100" s="842"/>
    </row>
    <row r="101" spans="1:29" ht="13.5" customHeight="1">
      <c r="A101" s="48"/>
      <c r="B101" s="48"/>
      <c r="C101" s="48">
        <v>4040</v>
      </c>
      <c r="D101" s="49" t="s">
        <v>531</v>
      </c>
      <c r="E101" s="311">
        <v>17158</v>
      </c>
      <c r="F101" s="311">
        <v>-163</v>
      </c>
      <c r="G101" s="311"/>
      <c r="H101" s="311"/>
      <c r="I101" s="311"/>
      <c r="J101" s="311"/>
      <c r="K101" s="320"/>
      <c r="L101" s="320"/>
      <c r="M101" s="320">
        <v>66464</v>
      </c>
      <c r="N101" s="311">
        <f t="shared" si="27"/>
        <v>83459</v>
      </c>
      <c r="O101" s="311">
        <v>0</v>
      </c>
      <c r="P101" s="311">
        <v>0</v>
      </c>
      <c r="Q101" s="311">
        <v>16994.45</v>
      </c>
      <c r="R101" s="311">
        <v>0</v>
      </c>
      <c r="S101" s="311">
        <v>0</v>
      </c>
      <c r="T101" s="311">
        <v>0</v>
      </c>
      <c r="U101" s="311"/>
      <c r="V101" s="311"/>
      <c r="W101" s="311"/>
      <c r="X101" s="311"/>
      <c r="Y101" s="311"/>
      <c r="Z101" s="311">
        <v>66463.62</v>
      </c>
      <c r="AA101" s="311">
        <f t="shared" si="28"/>
        <v>83458.06999999999</v>
      </c>
      <c r="AB101" s="342">
        <f t="shared" si="15"/>
        <v>0.9999888568039396</v>
      </c>
      <c r="AC101" s="842"/>
    </row>
    <row r="102" spans="1:29" ht="13.5" customHeight="1">
      <c r="A102" s="48"/>
      <c r="B102" s="48"/>
      <c r="C102" s="79">
        <v>4110</v>
      </c>
      <c r="D102" s="49" t="s">
        <v>1036</v>
      </c>
      <c r="E102" s="311">
        <v>43732</v>
      </c>
      <c r="F102" s="311"/>
      <c r="G102" s="311"/>
      <c r="H102" s="311"/>
      <c r="I102" s="311">
        <v>6000</v>
      </c>
      <c r="J102" s="311"/>
      <c r="K102" s="320"/>
      <c r="L102" s="320">
        <v>3004</v>
      </c>
      <c r="M102" s="320">
        <v>10000</v>
      </c>
      <c r="N102" s="311">
        <f t="shared" si="27"/>
        <v>62736</v>
      </c>
      <c r="O102" s="311">
        <v>3353.68</v>
      </c>
      <c r="P102" s="311">
        <v>3412.73</v>
      </c>
      <c r="Q102" s="311">
        <v>6194.56</v>
      </c>
      <c r="R102" s="311">
        <v>4188.36</v>
      </c>
      <c r="S102" s="311">
        <v>4528.79</v>
      </c>
      <c r="T102" s="311">
        <v>4137.87</v>
      </c>
      <c r="U102" s="311">
        <v>3647.77</v>
      </c>
      <c r="V102" s="311">
        <v>3352.05</v>
      </c>
      <c r="W102" s="311">
        <v>4385.67</v>
      </c>
      <c r="X102" s="311">
        <v>4739.77</v>
      </c>
      <c r="Y102" s="311">
        <v>5973.23</v>
      </c>
      <c r="Z102" s="311">
        <f>4386.65+10355.03</f>
        <v>14741.68</v>
      </c>
      <c r="AA102" s="311">
        <f t="shared" si="28"/>
        <v>62656.159999999996</v>
      </c>
      <c r="AB102" s="342">
        <f t="shared" si="15"/>
        <v>0.9987273654679928</v>
      </c>
      <c r="AC102" s="842"/>
    </row>
    <row r="103" spans="1:29" ht="13.5" customHeight="1">
      <c r="A103" s="48"/>
      <c r="B103" s="48"/>
      <c r="C103" s="79">
        <v>4120</v>
      </c>
      <c r="D103" s="49" t="s">
        <v>532</v>
      </c>
      <c r="E103" s="311">
        <v>6143</v>
      </c>
      <c r="F103" s="311"/>
      <c r="G103" s="311"/>
      <c r="H103" s="311"/>
      <c r="I103" s="311">
        <v>800</v>
      </c>
      <c r="J103" s="311"/>
      <c r="K103" s="320"/>
      <c r="L103" s="320">
        <v>428</v>
      </c>
      <c r="M103" s="320">
        <v>1600</v>
      </c>
      <c r="N103" s="311">
        <f t="shared" si="27"/>
        <v>8971</v>
      </c>
      <c r="O103" s="311">
        <v>471.13</v>
      </c>
      <c r="P103" s="311">
        <v>479.43</v>
      </c>
      <c r="Q103" s="311">
        <v>870.22</v>
      </c>
      <c r="R103" s="311">
        <v>583.7</v>
      </c>
      <c r="S103" s="311">
        <v>631.14</v>
      </c>
      <c r="T103" s="311">
        <v>576.67</v>
      </c>
      <c r="U103" s="311">
        <v>508.37</v>
      </c>
      <c r="V103" s="311">
        <v>467.15</v>
      </c>
      <c r="W103" s="311">
        <v>611.2</v>
      </c>
      <c r="X103" s="311">
        <v>660.55</v>
      </c>
      <c r="Y103" s="311">
        <f>107.8+670.83+53.82</f>
        <v>832.45</v>
      </c>
      <c r="Z103" s="311">
        <f>611.34+1628.36</f>
        <v>2239.7</v>
      </c>
      <c r="AA103" s="311">
        <f t="shared" si="28"/>
        <v>8931.71</v>
      </c>
      <c r="AB103" s="342">
        <f t="shared" si="15"/>
        <v>0.9956203321814735</v>
      </c>
      <c r="AC103" s="843"/>
    </row>
    <row r="104" spans="1:29" ht="48" customHeight="1">
      <c r="A104" s="48"/>
      <c r="B104" s="48"/>
      <c r="C104" s="79">
        <v>4140</v>
      </c>
      <c r="D104" s="49" t="s">
        <v>637</v>
      </c>
      <c r="E104" s="311"/>
      <c r="F104" s="311">
        <v>405</v>
      </c>
      <c r="G104" s="311"/>
      <c r="H104" s="311"/>
      <c r="I104" s="311"/>
      <c r="J104" s="311"/>
      <c r="K104" s="320"/>
      <c r="L104" s="311"/>
      <c r="M104" s="320"/>
      <c r="N104" s="311">
        <f t="shared" si="27"/>
        <v>405</v>
      </c>
      <c r="O104" s="311"/>
      <c r="P104" s="311"/>
      <c r="Q104" s="311">
        <v>405</v>
      </c>
      <c r="R104" s="311">
        <v>0</v>
      </c>
      <c r="S104" s="311">
        <v>0</v>
      </c>
      <c r="T104" s="311">
        <v>0</v>
      </c>
      <c r="U104" s="311">
        <v>0</v>
      </c>
      <c r="V104" s="311"/>
      <c r="W104" s="311"/>
      <c r="X104" s="311"/>
      <c r="Y104" s="311"/>
      <c r="Z104" s="311"/>
      <c r="AA104" s="311">
        <f t="shared" si="28"/>
        <v>405</v>
      </c>
      <c r="AB104" s="342">
        <f t="shared" si="15"/>
        <v>1</v>
      </c>
      <c r="AC104" s="715" t="s">
        <v>638</v>
      </c>
    </row>
    <row r="105" spans="1:29" ht="91.5" customHeight="1">
      <c r="A105" s="48"/>
      <c r="B105" s="48"/>
      <c r="C105" s="48">
        <v>4170</v>
      </c>
      <c r="D105" s="49" t="s">
        <v>533</v>
      </c>
      <c r="E105" s="311">
        <v>8000</v>
      </c>
      <c r="F105" s="311">
        <v>12000</v>
      </c>
      <c r="G105" s="311">
        <v>2000</v>
      </c>
      <c r="H105" s="311"/>
      <c r="I105" s="311"/>
      <c r="J105" s="311">
        <v>5000</v>
      </c>
      <c r="K105" s="320"/>
      <c r="L105" s="311">
        <v>8000</v>
      </c>
      <c r="M105" s="320"/>
      <c r="N105" s="311">
        <f t="shared" si="27"/>
        <v>35000</v>
      </c>
      <c r="O105" s="311">
        <v>2744.32</v>
      </c>
      <c r="P105" s="311">
        <v>12235.16</v>
      </c>
      <c r="Q105" s="311">
        <v>1622.16</v>
      </c>
      <c r="R105" s="311">
        <v>500</v>
      </c>
      <c r="S105" s="311">
        <v>500</v>
      </c>
      <c r="T105" s="311">
        <v>1662.64</v>
      </c>
      <c r="U105" s="311">
        <v>500</v>
      </c>
      <c r="V105" s="311">
        <v>3945.74</v>
      </c>
      <c r="W105" s="311">
        <v>2565.89</v>
      </c>
      <c r="X105" s="311">
        <v>3121.45</v>
      </c>
      <c r="Y105" s="311">
        <f>500+1008+177.21+24.7+1120+196.89+27.44</f>
        <v>3054.24</v>
      </c>
      <c r="Z105" s="311">
        <f>980+1355.98</f>
        <v>2335.98</v>
      </c>
      <c r="AA105" s="311">
        <f t="shared" si="28"/>
        <v>34787.58</v>
      </c>
      <c r="AB105" s="342">
        <f t="shared" si="15"/>
        <v>0.9939308571428572</v>
      </c>
      <c r="AC105" s="715" t="s">
        <v>512</v>
      </c>
    </row>
    <row r="106" spans="1:29" ht="28.5" customHeight="1">
      <c r="A106" s="48"/>
      <c r="B106" s="48"/>
      <c r="C106" s="48">
        <v>4210</v>
      </c>
      <c r="D106" s="49" t="s">
        <v>1201</v>
      </c>
      <c r="E106" s="311">
        <v>145733</v>
      </c>
      <c r="F106" s="311">
        <v>-17542</v>
      </c>
      <c r="G106" s="311">
        <v>-2000</v>
      </c>
      <c r="H106" s="311"/>
      <c r="I106" s="311">
        <v>13567</v>
      </c>
      <c r="J106" s="311">
        <v>2000</v>
      </c>
      <c r="K106" s="320">
        <f>26000-558</f>
        <v>25442</v>
      </c>
      <c r="L106" s="311">
        <f>73100-1240</f>
        <v>71860</v>
      </c>
      <c r="M106" s="320">
        <f>7536-4450+3400</f>
        <v>6486</v>
      </c>
      <c r="N106" s="311">
        <f t="shared" si="27"/>
        <v>245546</v>
      </c>
      <c r="O106" s="311">
        <v>14989.4</v>
      </c>
      <c r="P106" s="311">
        <v>22208.66</v>
      </c>
      <c r="Q106" s="311">
        <v>14654.41</v>
      </c>
      <c r="R106" s="311">
        <v>12006.67</v>
      </c>
      <c r="S106" s="311">
        <v>10274.71</v>
      </c>
      <c r="T106" s="311">
        <f>17986.78+122.52</f>
        <v>18109.3</v>
      </c>
      <c r="U106" s="311">
        <v>11342.64</v>
      </c>
      <c r="V106" s="311">
        <v>30717.57</v>
      </c>
      <c r="W106" s="311">
        <v>28519.28</v>
      </c>
      <c r="X106" s="311">
        <v>30227.97</v>
      </c>
      <c r="Y106" s="311">
        <v>18409.61</v>
      </c>
      <c r="Z106" s="320">
        <f>26044.93+1432.67</f>
        <v>27477.6</v>
      </c>
      <c r="AA106" s="320">
        <f t="shared" si="28"/>
        <v>238937.82000000004</v>
      </c>
      <c r="AB106" s="342">
        <f t="shared" si="15"/>
        <v>0.9730878124669107</v>
      </c>
      <c r="AC106" s="848" t="s">
        <v>513</v>
      </c>
    </row>
    <row r="107" spans="1:29" ht="39" customHeight="1">
      <c r="A107" s="48"/>
      <c r="B107" s="48"/>
      <c r="C107" s="48">
        <v>4270</v>
      </c>
      <c r="D107" s="49" t="s">
        <v>499</v>
      </c>
      <c r="E107" s="311">
        <v>10000</v>
      </c>
      <c r="F107" s="311"/>
      <c r="G107" s="311">
        <v>2000</v>
      </c>
      <c r="H107" s="311"/>
      <c r="I107" s="311">
        <f>5738+4000</f>
        <v>9738</v>
      </c>
      <c r="J107" s="311"/>
      <c r="K107" s="320">
        <v>3002</v>
      </c>
      <c r="L107" s="311"/>
      <c r="M107" s="320"/>
      <c r="N107" s="311">
        <f t="shared" si="27"/>
        <v>24740</v>
      </c>
      <c r="O107" s="311">
        <v>2858.56</v>
      </c>
      <c r="P107" s="311">
        <v>785.5</v>
      </c>
      <c r="Q107" s="311">
        <v>1446</v>
      </c>
      <c r="R107" s="311">
        <v>1582.79</v>
      </c>
      <c r="S107" s="311">
        <v>1266.2</v>
      </c>
      <c r="T107" s="311">
        <v>1878</v>
      </c>
      <c r="U107" s="311">
        <v>1021</v>
      </c>
      <c r="V107" s="311">
        <v>7164.2</v>
      </c>
      <c r="W107" s="311">
        <v>1214.5</v>
      </c>
      <c r="X107" s="311">
        <v>1765</v>
      </c>
      <c r="Y107" s="311">
        <v>2325.42</v>
      </c>
      <c r="Z107" s="311">
        <v>1196</v>
      </c>
      <c r="AA107" s="311">
        <f t="shared" si="28"/>
        <v>24503.17</v>
      </c>
      <c r="AB107" s="342">
        <f t="shared" si="15"/>
        <v>0.9904272433306386</v>
      </c>
      <c r="AC107" s="849"/>
    </row>
    <row r="108" spans="1:29" ht="41.25" customHeight="1">
      <c r="A108" s="48"/>
      <c r="B108" s="48"/>
      <c r="C108" s="48">
        <v>4300</v>
      </c>
      <c r="D108" s="49" t="s">
        <v>1203</v>
      </c>
      <c r="E108" s="311">
        <v>14000</v>
      </c>
      <c r="F108" s="311">
        <v>5000</v>
      </c>
      <c r="G108" s="311"/>
      <c r="H108" s="311"/>
      <c r="I108" s="311">
        <v>14000</v>
      </c>
      <c r="J108" s="311"/>
      <c r="K108" s="320">
        <v>5000</v>
      </c>
      <c r="L108" s="311"/>
      <c r="M108" s="320">
        <v>10000</v>
      </c>
      <c r="N108" s="311">
        <f t="shared" si="27"/>
        <v>48000</v>
      </c>
      <c r="O108" s="311">
        <v>1705.26</v>
      </c>
      <c r="P108" s="311">
        <v>5196.42</v>
      </c>
      <c r="Q108" s="311">
        <v>4058.3</v>
      </c>
      <c r="R108" s="311">
        <v>1021.82</v>
      </c>
      <c r="S108" s="311">
        <v>2946.7</v>
      </c>
      <c r="T108" s="311">
        <f>2011.2+200.79</f>
        <v>2211.9900000000002</v>
      </c>
      <c r="U108" s="311">
        <v>5279.11</v>
      </c>
      <c r="V108" s="311">
        <v>4138.12</v>
      </c>
      <c r="W108" s="311">
        <v>5257.11</v>
      </c>
      <c r="X108" s="311">
        <v>3566.32</v>
      </c>
      <c r="Y108" s="311">
        <v>1614.28</v>
      </c>
      <c r="Z108" s="311">
        <v>10023.27</v>
      </c>
      <c r="AA108" s="311">
        <f t="shared" si="28"/>
        <v>47018.7</v>
      </c>
      <c r="AB108" s="342">
        <f t="shared" si="15"/>
        <v>0.9795562499999999</v>
      </c>
      <c r="AC108" s="850"/>
    </row>
    <row r="109" spans="1:29" ht="25.5">
      <c r="A109" s="48"/>
      <c r="B109" s="48"/>
      <c r="C109" s="48">
        <v>4350</v>
      </c>
      <c r="D109" s="49" t="s">
        <v>639</v>
      </c>
      <c r="E109" s="311">
        <v>2880</v>
      </c>
      <c r="F109" s="311">
        <v>-100</v>
      </c>
      <c r="G109" s="311"/>
      <c r="H109" s="311"/>
      <c r="I109" s="311"/>
      <c r="J109" s="311"/>
      <c r="K109" s="320"/>
      <c r="L109" s="311">
        <v>-32</v>
      </c>
      <c r="M109" s="311"/>
      <c r="N109" s="311">
        <f t="shared" si="27"/>
        <v>2748</v>
      </c>
      <c r="O109" s="311">
        <v>229</v>
      </c>
      <c r="P109" s="311">
        <v>458</v>
      </c>
      <c r="Q109" s="311">
        <v>0</v>
      </c>
      <c r="R109" s="311">
        <v>229</v>
      </c>
      <c r="S109" s="311">
        <v>229</v>
      </c>
      <c r="T109" s="311">
        <v>229</v>
      </c>
      <c r="U109" s="311">
        <v>229</v>
      </c>
      <c r="V109" s="311">
        <v>229</v>
      </c>
      <c r="W109" s="311">
        <v>229</v>
      </c>
      <c r="X109" s="311">
        <v>229</v>
      </c>
      <c r="Y109" s="311">
        <v>229</v>
      </c>
      <c r="Z109" s="311">
        <v>229</v>
      </c>
      <c r="AA109" s="311">
        <f t="shared" si="28"/>
        <v>2748</v>
      </c>
      <c r="AB109" s="342">
        <f t="shared" si="15"/>
        <v>1</v>
      </c>
      <c r="AC109" s="723" t="s">
        <v>640</v>
      </c>
    </row>
    <row r="110" spans="1:29" ht="33.75" customHeight="1">
      <c r="A110" s="48"/>
      <c r="B110" s="48"/>
      <c r="C110" s="48">
        <v>4360</v>
      </c>
      <c r="D110" s="49" t="s">
        <v>641</v>
      </c>
      <c r="E110" s="311">
        <v>9600</v>
      </c>
      <c r="F110" s="311"/>
      <c r="G110" s="311"/>
      <c r="H110" s="311"/>
      <c r="I110" s="311"/>
      <c r="J110" s="311"/>
      <c r="K110" s="320"/>
      <c r="L110" s="311">
        <v>-460</v>
      </c>
      <c r="M110" s="311"/>
      <c r="N110" s="311">
        <f t="shared" si="27"/>
        <v>9140</v>
      </c>
      <c r="O110" s="311">
        <v>932.41</v>
      </c>
      <c r="P110" s="311">
        <v>1115.31</v>
      </c>
      <c r="Q110" s="311">
        <v>640.95</v>
      </c>
      <c r="R110" s="311">
        <v>754.5</v>
      </c>
      <c r="S110" s="311">
        <v>703.69</v>
      </c>
      <c r="T110" s="311">
        <v>748.44</v>
      </c>
      <c r="U110" s="311">
        <v>656.86</v>
      </c>
      <c r="V110" s="311">
        <v>737.83</v>
      </c>
      <c r="W110" s="311">
        <v>785.99</v>
      </c>
      <c r="X110" s="311">
        <v>700.2</v>
      </c>
      <c r="Y110" s="311">
        <v>577.16</v>
      </c>
      <c r="Z110" s="311">
        <v>610.83</v>
      </c>
      <c r="AA110" s="311">
        <f t="shared" si="28"/>
        <v>8964.17</v>
      </c>
      <c r="AB110" s="342">
        <f aca="true" t="shared" si="29" ref="AB110:AB120">AA110/N110</f>
        <v>0.9807625820568928</v>
      </c>
      <c r="AC110" s="715" t="s">
        <v>642</v>
      </c>
    </row>
    <row r="111" spans="1:29" ht="32.25" customHeight="1">
      <c r="A111" s="48"/>
      <c r="B111" s="48"/>
      <c r="C111" s="48">
        <v>4370</v>
      </c>
      <c r="D111" s="49" t="s">
        <v>643</v>
      </c>
      <c r="E111" s="311">
        <v>2400</v>
      </c>
      <c r="F111" s="311"/>
      <c r="G111" s="311"/>
      <c r="H111" s="311"/>
      <c r="I111" s="311"/>
      <c r="J111" s="311"/>
      <c r="K111" s="320"/>
      <c r="L111" s="311"/>
      <c r="M111" s="311"/>
      <c r="N111" s="311">
        <f t="shared" si="27"/>
        <v>2400</v>
      </c>
      <c r="O111" s="311">
        <v>262.96</v>
      </c>
      <c r="P111" s="311">
        <v>474.87</v>
      </c>
      <c r="Q111" s="311">
        <v>0</v>
      </c>
      <c r="R111" s="311">
        <v>221.92</v>
      </c>
      <c r="S111" s="311">
        <v>186.92</v>
      </c>
      <c r="T111" s="311">
        <v>181.05</v>
      </c>
      <c r="U111" s="311">
        <v>160.97</v>
      </c>
      <c r="V111" s="311">
        <v>154.03</v>
      </c>
      <c r="W111" s="311">
        <v>166.4</v>
      </c>
      <c r="X111" s="311">
        <v>184.26</v>
      </c>
      <c r="Y111" s="311">
        <v>181.68</v>
      </c>
      <c r="Z111" s="311">
        <v>168.06</v>
      </c>
      <c r="AA111" s="311">
        <f t="shared" si="28"/>
        <v>2343.12</v>
      </c>
      <c r="AB111" s="342">
        <f t="shared" si="29"/>
        <v>0.9763</v>
      </c>
      <c r="AC111" s="715" t="s">
        <v>644</v>
      </c>
    </row>
    <row r="112" spans="1:29" ht="27.75" customHeight="1">
      <c r="A112" s="48"/>
      <c r="B112" s="48"/>
      <c r="C112" s="48">
        <v>4410</v>
      </c>
      <c r="D112" s="49" t="s">
        <v>528</v>
      </c>
      <c r="E112" s="311">
        <v>3200</v>
      </c>
      <c r="F112" s="311">
        <v>-800</v>
      </c>
      <c r="G112" s="311"/>
      <c r="H112" s="311"/>
      <c r="I112" s="311"/>
      <c r="J112" s="311">
        <v>1000</v>
      </c>
      <c r="K112" s="320">
        <v>500</v>
      </c>
      <c r="L112" s="311"/>
      <c r="M112" s="311">
        <v>200</v>
      </c>
      <c r="N112" s="311">
        <f t="shared" si="27"/>
        <v>4100</v>
      </c>
      <c r="O112" s="311">
        <v>192.58</v>
      </c>
      <c r="P112" s="311">
        <v>192.58</v>
      </c>
      <c r="Q112" s="311">
        <v>409.06</v>
      </c>
      <c r="R112" s="311">
        <v>262.38</v>
      </c>
      <c r="S112" s="311">
        <v>371.78</v>
      </c>
      <c r="T112" s="311">
        <v>374.98</v>
      </c>
      <c r="U112" s="311">
        <v>362.68</v>
      </c>
      <c r="V112" s="311">
        <v>445.41</v>
      </c>
      <c r="W112" s="311">
        <v>236.98</v>
      </c>
      <c r="X112" s="311">
        <v>442.38</v>
      </c>
      <c r="Y112" s="311">
        <f>46+296.72</f>
        <v>342.72</v>
      </c>
      <c r="Z112" s="311">
        <v>303.81</v>
      </c>
      <c r="AA112" s="311">
        <f t="shared" si="28"/>
        <v>3937.3399999999997</v>
      </c>
      <c r="AB112" s="342">
        <f t="shared" si="29"/>
        <v>0.9603268292682926</v>
      </c>
      <c r="AC112" s="715" t="s">
        <v>494</v>
      </c>
    </row>
    <row r="113" spans="1:29" ht="64.5" customHeight="1">
      <c r="A113" s="42"/>
      <c r="B113" s="42"/>
      <c r="C113" s="48">
        <v>4430</v>
      </c>
      <c r="D113" s="49" t="s">
        <v>1210</v>
      </c>
      <c r="E113" s="311">
        <v>10000</v>
      </c>
      <c r="F113" s="311"/>
      <c r="G113" s="311">
        <v>-2000</v>
      </c>
      <c r="H113" s="311"/>
      <c r="I113" s="311">
        <v>3000</v>
      </c>
      <c r="J113" s="311">
        <v>3000</v>
      </c>
      <c r="K113" s="320">
        <v>2500</v>
      </c>
      <c r="L113" s="311"/>
      <c r="M113" s="320">
        <f>17000</f>
        <v>17000</v>
      </c>
      <c r="N113" s="311">
        <f t="shared" si="27"/>
        <v>33500</v>
      </c>
      <c r="O113" s="311">
        <v>3713.18</v>
      </c>
      <c r="P113" s="311">
        <v>210</v>
      </c>
      <c r="Q113" s="311">
        <v>1498</v>
      </c>
      <c r="R113" s="311">
        <v>181</v>
      </c>
      <c r="S113" s="311">
        <v>333</v>
      </c>
      <c r="T113" s="311">
        <f>202+600</f>
        <v>802</v>
      </c>
      <c r="U113" s="311">
        <v>1774.56</v>
      </c>
      <c r="V113" s="311">
        <v>4149.5</v>
      </c>
      <c r="W113" s="311">
        <v>1684</v>
      </c>
      <c r="X113" s="311">
        <v>370.67</v>
      </c>
      <c r="Y113" s="311">
        <v>580</v>
      </c>
      <c r="Z113" s="311">
        <f>42+16423.77</f>
        <v>16465.77</v>
      </c>
      <c r="AA113" s="311">
        <f t="shared" si="28"/>
        <v>31761.68</v>
      </c>
      <c r="AB113" s="342">
        <f t="shared" si="29"/>
        <v>0.9481098507462686</v>
      </c>
      <c r="AC113" s="723" t="s">
        <v>645</v>
      </c>
    </row>
    <row r="114" spans="1:29" ht="25.5">
      <c r="A114" s="42"/>
      <c r="B114" s="42"/>
      <c r="C114" s="48">
        <v>4440</v>
      </c>
      <c r="D114" s="49" t="s">
        <v>1018</v>
      </c>
      <c r="E114" s="311">
        <v>8040</v>
      </c>
      <c r="F114" s="311"/>
      <c r="G114" s="311"/>
      <c r="H114" s="311"/>
      <c r="I114" s="311">
        <v>3761</v>
      </c>
      <c r="J114" s="311"/>
      <c r="K114" s="320"/>
      <c r="L114" s="320"/>
      <c r="M114" s="320"/>
      <c r="N114" s="311">
        <f t="shared" si="27"/>
        <v>11801</v>
      </c>
      <c r="O114" s="311">
        <v>0</v>
      </c>
      <c r="P114" s="311">
        <v>0</v>
      </c>
      <c r="Q114" s="311"/>
      <c r="R114" s="311">
        <v>0</v>
      </c>
      <c r="S114" s="311">
        <v>4179.45</v>
      </c>
      <c r="T114" s="311">
        <v>835.89</v>
      </c>
      <c r="U114" s="311">
        <v>835.89</v>
      </c>
      <c r="V114" s="311">
        <v>835.89</v>
      </c>
      <c r="W114" s="311">
        <v>835.89</v>
      </c>
      <c r="X114" s="311">
        <v>1373.78</v>
      </c>
      <c r="Y114" s="311">
        <v>1373.78</v>
      </c>
      <c r="Z114" s="311">
        <f>Y114+22.35</f>
        <v>1396.1299999999999</v>
      </c>
      <c r="AA114" s="311">
        <f t="shared" si="28"/>
        <v>11666.7</v>
      </c>
      <c r="AB114" s="342">
        <f t="shared" si="29"/>
        <v>0.9886196085077537</v>
      </c>
      <c r="AC114" s="715" t="s">
        <v>1019</v>
      </c>
    </row>
    <row r="115" spans="1:29" ht="12.75">
      <c r="A115" s="42"/>
      <c r="B115" s="42"/>
      <c r="C115" s="48">
        <v>4530</v>
      </c>
      <c r="D115" s="49" t="s">
        <v>1020</v>
      </c>
      <c r="E115" s="311">
        <v>5000</v>
      </c>
      <c r="F115" s="311">
        <v>3000</v>
      </c>
      <c r="G115" s="311">
        <v>3000</v>
      </c>
      <c r="H115" s="311"/>
      <c r="I115" s="311">
        <v>38262</v>
      </c>
      <c r="J115" s="311">
        <v>-11000</v>
      </c>
      <c r="K115" s="320"/>
      <c r="L115" s="311"/>
      <c r="M115" s="320">
        <v>2000</v>
      </c>
      <c r="N115" s="311">
        <f t="shared" si="27"/>
        <v>40262</v>
      </c>
      <c r="O115" s="311">
        <v>1848.39</v>
      </c>
      <c r="P115" s="311">
        <v>1366.8</v>
      </c>
      <c r="Q115" s="311">
        <v>1462.81</v>
      </c>
      <c r="R115" s="311">
        <v>1023.49</v>
      </c>
      <c r="S115" s="311">
        <v>1650.27</v>
      </c>
      <c r="T115" s="311">
        <v>1671.28</v>
      </c>
      <c r="U115" s="311">
        <v>1089.57</v>
      </c>
      <c r="V115" s="311">
        <v>6880.08</v>
      </c>
      <c r="W115" s="311">
        <v>2379.41</v>
      </c>
      <c r="X115" s="311">
        <v>4076.12</v>
      </c>
      <c r="Y115" s="311">
        <v>9591.12</v>
      </c>
      <c r="Z115" s="311">
        <f>6574.6+322.06-58.26</f>
        <v>6838.400000000001</v>
      </c>
      <c r="AA115" s="311">
        <f t="shared" si="28"/>
        <v>39877.740000000005</v>
      </c>
      <c r="AB115" s="342">
        <f t="shared" si="29"/>
        <v>0.9904560131141028</v>
      </c>
      <c r="AC115" s="715" t="s">
        <v>1021</v>
      </c>
    </row>
    <row r="116" spans="1:29" s="352" customFormat="1" ht="38.25">
      <c r="A116" s="42"/>
      <c r="B116" s="42"/>
      <c r="C116" s="48">
        <v>4740</v>
      </c>
      <c r="D116" s="49" t="s">
        <v>497</v>
      </c>
      <c r="E116" s="311">
        <v>2800</v>
      </c>
      <c r="F116" s="311">
        <v>-800</v>
      </c>
      <c r="G116" s="311"/>
      <c r="H116" s="311"/>
      <c r="I116" s="311">
        <v>400</v>
      </c>
      <c r="J116" s="311"/>
      <c r="K116" s="320"/>
      <c r="L116" s="311">
        <v>300</v>
      </c>
      <c r="M116" s="320"/>
      <c r="N116" s="311">
        <f t="shared" si="27"/>
        <v>2700</v>
      </c>
      <c r="O116" s="311">
        <v>169.3</v>
      </c>
      <c r="P116" s="311">
        <v>208.82</v>
      </c>
      <c r="Q116" s="311">
        <v>115.8</v>
      </c>
      <c r="R116" s="311">
        <v>165.6</v>
      </c>
      <c r="S116" s="311">
        <f>110.55+310</f>
        <v>420.55</v>
      </c>
      <c r="T116" s="311">
        <v>166.08</v>
      </c>
      <c r="U116" s="311">
        <v>195.97</v>
      </c>
      <c r="V116" s="311">
        <v>220.44</v>
      </c>
      <c r="W116" s="311">
        <v>111.84</v>
      </c>
      <c r="X116" s="311">
        <v>548.04</v>
      </c>
      <c r="Y116" s="311">
        <v>166.14</v>
      </c>
      <c r="Z116" s="311">
        <v>110.16</v>
      </c>
      <c r="AA116" s="311">
        <f t="shared" si="28"/>
        <v>2598.7399999999993</v>
      </c>
      <c r="AB116" s="342">
        <f t="shared" si="29"/>
        <v>0.9624962962962961</v>
      </c>
      <c r="AC116" s="715" t="s">
        <v>646</v>
      </c>
    </row>
    <row r="117" spans="1:29" s="352" customFormat="1" ht="24" customHeight="1">
      <c r="A117" s="42"/>
      <c r="B117" s="42"/>
      <c r="C117" s="48">
        <v>4750</v>
      </c>
      <c r="D117" s="49" t="s">
        <v>498</v>
      </c>
      <c r="E117" s="311">
        <v>6500</v>
      </c>
      <c r="F117" s="311">
        <v>-3000</v>
      </c>
      <c r="G117" s="311">
        <v>-3000</v>
      </c>
      <c r="H117" s="311"/>
      <c r="I117" s="311">
        <v>3000</v>
      </c>
      <c r="J117" s="311"/>
      <c r="K117" s="320"/>
      <c r="L117" s="311"/>
      <c r="M117" s="320">
        <f>621+191</f>
        <v>812</v>
      </c>
      <c r="N117" s="311">
        <f t="shared" si="27"/>
        <v>4312</v>
      </c>
      <c r="O117" s="311">
        <v>0</v>
      </c>
      <c r="P117" s="311">
        <v>0</v>
      </c>
      <c r="Q117" s="311"/>
      <c r="R117" s="311">
        <v>0</v>
      </c>
      <c r="S117" s="311">
        <v>0</v>
      </c>
      <c r="T117" s="311">
        <v>0</v>
      </c>
      <c r="U117" s="311"/>
      <c r="V117" s="311"/>
      <c r="W117" s="311"/>
      <c r="X117" s="311"/>
      <c r="Y117" s="311">
        <v>800</v>
      </c>
      <c r="Z117" s="311">
        <v>3321</v>
      </c>
      <c r="AA117" s="311">
        <f t="shared" si="28"/>
        <v>4121</v>
      </c>
      <c r="AB117" s="342">
        <f t="shared" si="29"/>
        <v>0.9557050092764379</v>
      </c>
      <c r="AC117" s="715" t="s">
        <v>514</v>
      </c>
    </row>
    <row r="118" spans="1:29" ht="84.75" customHeight="1">
      <c r="A118" s="48"/>
      <c r="B118" s="48"/>
      <c r="C118" s="79">
        <v>6080</v>
      </c>
      <c r="D118" s="49" t="s">
        <v>1024</v>
      </c>
      <c r="E118" s="311"/>
      <c r="F118" s="311"/>
      <c r="G118" s="311"/>
      <c r="H118" s="311"/>
      <c r="I118" s="320"/>
      <c r="J118" s="311"/>
      <c r="K118" s="320">
        <v>2820</v>
      </c>
      <c r="L118" s="320">
        <v>63000</v>
      </c>
      <c r="M118" s="320">
        <v>4450</v>
      </c>
      <c r="N118" s="311">
        <f>SUM(E118:M118)</f>
        <v>70270</v>
      </c>
      <c r="O118" s="311"/>
      <c r="P118" s="311"/>
      <c r="Q118" s="311"/>
      <c r="R118" s="311"/>
      <c r="S118" s="311"/>
      <c r="T118" s="311"/>
      <c r="U118" s="311"/>
      <c r="V118" s="311"/>
      <c r="W118" s="311"/>
      <c r="X118" s="320">
        <v>5759.26</v>
      </c>
      <c r="Y118" s="311">
        <f>9396.8+2819.1</f>
        <v>12215.9</v>
      </c>
      <c r="Z118" s="311">
        <f>34640+5010+503+6389+2253+46+1801.6+1647.32</f>
        <v>52289.92</v>
      </c>
      <c r="AA118" s="311">
        <f t="shared" si="28"/>
        <v>70265.08</v>
      </c>
      <c r="AB118" s="342">
        <f t="shared" si="29"/>
        <v>0.9999299843460937</v>
      </c>
      <c r="AC118" s="724" t="s">
        <v>515</v>
      </c>
    </row>
    <row r="119" spans="1:29" s="352" customFormat="1" ht="107.25" customHeight="1">
      <c r="A119" s="42"/>
      <c r="B119" s="42"/>
      <c r="C119" s="48">
        <v>6080</v>
      </c>
      <c r="D119" s="49" t="s">
        <v>1024</v>
      </c>
      <c r="E119" s="311"/>
      <c r="F119" s="311"/>
      <c r="G119" s="311"/>
      <c r="H119" s="311"/>
      <c r="I119" s="320">
        <v>200000</v>
      </c>
      <c r="J119" s="311"/>
      <c r="K119" s="320"/>
      <c r="L119" s="320"/>
      <c r="M119" s="311"/>
      <c r="N119" s="311">
        <f t="shared" si="27"/>
        <v>200000</v>
      </c>
      <c r="O119" s="311"/>
      <c r="P119" s="311"/>
      <c r="Q119" s="311"/>
      <c r="R119" s="311"/>
      <c r="S119" s="311"/>
      <c r="T119" s="311"/>
      <c r="U119" s="311"/>
      <c r="V119" s="320">
        <f>60000+2819.1</f>
        <v>62819.1</v>
      </c>
      <c r="W119" s="311"/>
      <c r="X119" s="320">
        <v>25500</v>
      </c>
      <c r="Y119" s="311">
        <f>98000+8483.61-2819.1</f>
        <v>103664.51</v>
      </c>
      <c r="Z119" s="311">
        <v>8016.39</v>
      </c>
      <c r="AA119" s="311">
        <f t="shared" si="28"/>
        <v>200000</v>
      </c>
      <c r="AB119" s="342">
        <f t="shared" si="29"/>
        <v>1</v>
      </c>
      <c r="AC119" s="724" t="s">
        <v>516</v>
      </c>
    </row>
    <row r="120" spans="1:29" ht="14.25" customHeight="1">
      <c r="A120" s="851" t="s">
        <v>1176</v>
      </c>
      <c r="B120" s="851"/>
      <c r="C120" s="851"/>
      <c r="D120" s="851"/>
      <c r="E120" s="349">
        <f aca="true" t="shared" si="30" ref="E120:K120">(E4+E24+E39+E56)</f>
        <v>2187121</v>
      </c>
      <c r="F120" s="349">
        <f t="shared" si="30"/>
        <v>0</v>
      </c>
      <c r="G120" s="349">
        <f t="shared" si="30"/>
        <v>0</v>
      </c>
      <c r="H120" s="349">
        <f t="shared" si="30"/>
        <v>16470</v>
      </c>
      <c r="I120" s="349">
        <f t="shared" si="30"/>
        <v>433100</v>
      </c>
      <c r="J120" s="349">
        <f>(J4+J24+J39+J56)</f>
        <v>0</v>
      </c>
      <c r="K120" s="349">
        <f t="shared" si="30"/>
        <v>113309</v>
      </c>
      <c r="L120" s="349">
        <f>(L4+L24+L39+L56)</f>
        <v>261100</v>
      </c>
      <c r="M120" s="349">
        <f>(M4+M24+M39+M56)</f>
        <v>154360</v>
      </c>
      <c r="N120" s="349">
        <f>(N4+N24+N39+N56)</f>
        <v>3165460</v>
      </c>
      <c r="O120" s="349">
        <f aca="true" t="shared" si="31" ref="O120:Z120">(O4+O24+O39+O56)</f>
        <v>183442.73</v>
      </c>
      <c r="P120" s="349">
        <f t="shared" si="31"/>
        <v>203726.41999999998</v>
      </c>
      <c r="Q120" s="349">
        <f t="shared" si="31"/>
        <v>307602.7</v>
      </c>
      <c r="R120" s="349">
        <f t="shared" si="31"/>
        <v>165197.5</v>
      </c>
      <c r="S120" s="349">
        <f t="shared" si="31"/>
        <v>181207.59000000003</v>
      </c>
      <c r="T120" s="349">
        <f t="shared" si="31"/>
        <v>263918.7</v>
      </c>
      <c r="U120" s="349">
        <f t="shared" si="31"/>
        <v>180881.59</v>
      </c>
      <c r="V120" s="349">
        <f t="shared" si="31"/>
        <v>342461.61</v>
      </c>
      <c r="W120" s="349">
        <f t="shared" si="31"/>
        <v>188668.58</v>
      </c>
      <c r="X120" s="349">
        <f t="shared" si="31"/>
        <v>267141.93</v>
      </c>
      <c r="Y120" s="349">
        <f t="shared" si="31"/>
        <v>393255.49</v>
      </c>
      <c r="Z120" s="349">
        <f t="shared" si="31"/>
        <v>427153.45</v>
      </c>
      <c r="AA120" s="349">
        <f>(AA4+AA24+AA39+AA56)</f>
        <v>3104658.29</v>
      </c>
      <c r="AB120" s="337">
        <f t="shared" si="29"/>
        <v>0.9807921407947028</v>
      </c>
      <c r="AC120" s="722"/>
    </row>
    <row r="121" ht="12.75">
      <c r="AC121" s="727"/>
    </row>
    <row r="122" ht="12.75">
      <c r="AC122" s="727"/>
    </row>
    <row r="123" ht="12.75">
      <c r="AC123" s="727"/>
    </row>
    <row r="124" ht="12.75">
      <c r="AC124" s="727"/>
    </row>
    <row r="125" ht="12.75">
      <c r="AC125" s="727"/>
    </row>
    <row r="126" ht="12.75">
      <c r="AC126" s="727"/>
    </row>
    <row r="127" ht="12.75">
      <c r="AC127" s="727"/>
    </row>
  </sheetData>
  <mergeCells count="16">
    <mergeCell ref="AC93:AC95"/>
    <mergeCell ref="AC99:AC103"/>
    <mergeCell ref="AC106:AC108"/>
    <mergeCell ref="A120:D120"/>
    <mergeCell ref="AC63:AC66"/>
    <mergeCell ref="AC74:AC79"/>
    <mergeCell ref="AC80:AC82"/>
    <mergeCell ref="AC87:AC91"/>
    <mergeCell ref="AC32:AC34"/>
    <mergeCell ref="AC41:AC44"/>
    <mergeCell ref="AC46:AC49"/>
    <mergeCell ref="AC58:AC62"/>
    <mergeCell ref="AC6:AC10"/>
    <mergeCell ref="AC11:AC15"/>
    <mergeCell ref="AC16:AC17"/>
    <mergeCell ref="AC26:AC30"/>
  </mergeCells>
  <printOptions horizontalCentered="1"/>
  <pageMargins left="0.15748031496062992" right="0.15748031496062992" top="0.15748031496062992" bottom="0.15748031496062992" header="0.15748031496062992" footer="0.15748031496062992"/>
  <pageSetup fitToHeight="2"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B1:G48"/>
  <sheetViews>
    <sheetView zoomScale="150" zoomScaleNormal="150" workbookViewId="0" topLeftCell="A3">
      <selection activeCell="G8" sqref="G8:G10"/>
    </sheetView>
  </sheetViews>
  <sheetFormatPr defaultColWidth="9.140625" defaultRowHeight="12.75"/>
  <cols>
    <col min="1" max="1" width="4.140625" style="354" customWidth="1"/>
    <col min="2" max="2" width="5.28125" style="355" customWidth="1"/>
    <col min="3" max="3" width="12.28125" style="354" customWidth="1"/>
    <col min="4" max="5" width="12.00390625" style="354" customWidth="1"/>
    <col min="6" max="6" width="12.28125" style="354" customWidth="1"/>
    <col min="7" max="7" width="52.140625" style="354" customWidth="1"/>
    <col min="8" max="16384" width="9.140625" style="354" customWidth="1"/>
  </cols>
  <sheetData>
    <row r="1" ht="12.75">
      <c r="G1" s="356" t="s">
        <v>648</v>
      </c>
    </row>
    <row r="2" spans="2:7" ht="12.75">
      <c r="B2" s="852" t="s">
        <v>1216</v>
      </c>
      <c r="C2" s="852"/>
      <c r="D2" s="852"/>
      <c r="E2" s="852"/>
      <c r="F2" s="852"/>
      <c r="G2" s="852"/>
    </row>
    <row r="4" spans="2:7" s="26" customFormat="1" ht="13.5" customHeight="1">
      <c r="B4" s="853" t="s">
        <v>649</v>
      </c>
      <c r="C4" s="855" t="s">
        <v>650</v>
      </c>
      <c r="D4" s="856"/>
      <c r="E4" s="855" t="s">
        <v>651</v>
      </c>
      <c r="F4" s="856"/>
      <c r="G4" s="857" t="s">
        <v>652</v>
      </c>
    </row>
    <row r="5" spans="2:7" s="26" customFormat="1" ht="20.25" customHeight="1">
      <c r="B5" s="854"/>
      <c r="C5" s="357" t="s">
        <v>653</v>
      </c>
      <c r="D5" s="357" t="s">
        <v>654</v>
      </c>
      <c r="E5" s="357" t="s">
        <v>653</v>
      </c>
      <c r="F5" s="357" t="s">
        <v>654</v>
      </c>
      <c r="G5" s="858"/>
    </row>
    <row r="6" spans="2:7" s="26" customFormat="1" ht="12.75">
      <c r="B6" s="61" t="s">
        <v>655</v>
      </c>
      <c r="C6" s="859" t="s">
        <v>656</v>
      </c>
      <c r="D6" s="860"/>
      <c r="E6" s="860"/>
      <c r="F6" s="860"/>
      <c r="G6" s="861"/>
    </row>
    <row r="7" spans="2:7" s="34" customFormat="1" ht="14.25" customHeight="1">
      <c r="B7" s="862"/>
      <c r="C7" s="53">
        <v>3189.27</v>
      </c>
      <c r="D7" s="53"/>
      <c r="E7" s="53"/>
      <c r="F7" s="53"/>
      <c r="G7" s="53" t="s">
        <v>657</v>
      </c>
    </row>
    <row r="8" spans="2:7" s="34" customFormat="1" ht="25.5">
      <c r="B8" s="862"/>
      <c r="C8" s="53">
        <v>1616</v>
      </c>
      <c r="D8" s="53"/>
      <c r="E8" s="53"/>
      <c r="F8" s="53"/>
      <c r="G8" s="53" t="s">
        <v>1213</v>
      </c>
    </row>
    <row r="9" spans="2:7" s="34" customFormat="1" ht="25.5">
      <c r="B9" s="862"/>
      <c r="C9" s="53"/>
      <c r="D9" s="53">
        <v>3368.84</v>
      </c>
      <c r="E9" s="53"/>
      <c r="F9" s="53"/>
      <c r="G9" s="53" t="s">
        <v>1214</v>
      </c>
    </row>
    <row r="10" spans="2:7" s="34" customFormat="1" ht="25.5">
      <c r="B10" s="862"/>
      <c r="C10" s="53"/>
      <c r="D10" s="53">
        <v>600</v>
      </c>
      <c r="E10" s="53"/>
      <c r="F10" s="53"/>
      <c r="G10" s="53" t="s">
        <v>1215</v>
      </c>
    </row>
    <row r="11" spans="2:7" s="34" customFormat="1" ht="12.75">
      <c r="B11" s="862"/>
      <c r="C11" s="53">
        <v>10133.34</v>
      </c>
      <c r="D11" s="53"/>
      <c r="E11" s="53"/>
      <c r="F11" s="53"/>
      <c r="G11" s="53" t="s">
        <v>658</v>
      </c>
    </row>
    <row r="12" spans="2:7" s="34" customFormat="1" ht="30" customHeight="1">
      <c r="B12" s="862"/>
      <c r="C12" s="53">
        <v>4228.98</v>
      </c>
      <c r="D12" s="53"/>
      <c r="E12" s="53"/>
      <c r="F12" s="53"/>
      <c r="G12" s="53" t="s">
        <v>659</v>
      </c>
    </row>
    <row r="13" spans="2:7" s="34" customFormat="1" ht="30" customHeight="1">
      <c r="B13" s="862"/>
      <c r="C13" s="53">
        <v>1238.13</v>
      </c>
      <c r="D13" s="53"/>
      <c r="E13" s="53"/>
      <c r="F13" s="53"/>
      <c r="G13" s="53" t="s">
        <v>564</v>
      </c>
    </row>
    <row r="14" spans="2:7" s="34" customFormat="1" ht="25.5">
      <c r="B14" s="862"/>
      <c r="C14" s="53">
        <v>7138.28</v>
      </c>
      <c r="D14" s="53"/>
      <c r="E14" s="53"/>
      <c r="F14" s="53"/>
      <c r="G14" s="53" t="s">
        <v>565</v>
      </c>
    </row>
    <row r="15" spans="2:7" s="34" customFormat="1" ht="25.5">
      <c r="B15" s="862"/>
      <c r="C15" s="53">
        <v>13895.1</v>
      </c>
      <c r="D15" s="53"/>
      <c r="E15" s="53"/>
      <c r="F15" s="53"/>
      <c r="G15" s="53" t="s">
        <v>566</v>
      </c>
    </row>
    <row r="16" spans="2:7" s="34" customFormat="1" ht="16.5" customHeight="1">
      <c r="B16" s="862"/>
      <c r="C16" s="53">
        <f>3637.6+39315.84</f>
        <v>42953.439999999995</v>
      </c>
      <c r="D16" s="53"/>
      <c r="E16" s="53"/>
      <c r="F16" s="53"/>
      <c r="G16" s="53" t="s">
        <v>567</v>
      </c>
    </row>
    <row r="17" spans="2:7" s="34" customFormat="1" ht="12.75">
      <c r="B17" s="862"/>
      <c r="C17" s="53">
        <f>3848.5+7755.15</f>
        <v>11603.65</v>
      </c>
      <c r="D17" s="53"/>
      <c r="E17" s="53"/>
      <c r="F17" s="53"/>
      <c r="G17" s="53" t="s">
        <v>568</v>
      </c>
    </row>
    <row r="18" spans="2:7" s="34" customFormat="1" ht="12.75">
      <c r="B18" s="862"/>
      <c r="C18" s="53">
        <f>0.5+119.91</f>
        <v>120.41</v>
      </c>
      <c r="D18" s="53"/>
      <c r="E18" s="53"/>
      <c r="F18" s="53"/>
      <c r="G18" s="53" t="s">
        <v>569</v>
      </c>
    </row>
    <row r="19" spans="2:7" s="34" customFormat="1" ht="12.75">
      <c r="B19" s="862"/>
      <c r="C19" s="53">
        <f>201+4387.47</f>
        <v>4588.47</v>
      </c>
      <c r="D19" s="53"/>
      <c r="E19" s="53"/>
      <c r="F19" s="53"/>
      <c r="G19" s="53" t="s">
        <v>602</v>
      </c>
    </row>
    <row r="20" spans="2:7" s="34" customFormat="1" ht="12.75">
      <c r="B20" s="862"/>
      <c r="C20" s="53">
        <v>63.15</v>
      </c>
      <c r="D20" s="53"/>
      <c r="E20" s="53"/>
      <c r="F20" s="53"/>
      <c r="G20" s="53" t="s">
        <v>603</v>
      </c>
    </row>
    <row r="21" spans="2:7" s="34" customFormat="1" ht="25.5">
      <c r="B21" s="862"/>
      <c r="C21" s="53">
        <f>2558+528.5</f>
        <v>3086.5</v>
      </c>
      <c r="D21" s="53"/>
      <c r="E21" s="53"/>
      <c r="F21" s="53"/>
      <c r="G21" s="53" t="s">
        <v>604</v>
      </c>
    </row>
    <row r="22" spans="2:7" s="34" customFormat="1" ht="12.75">
      <c r="B22" s="862"/>
      <c r="C22" s="53">
        <v>184305.46</v>
      </c>
      <c r="D22" s="53"/>
      <c r="E22" s="53"/>
      <c r="F22" s="53"/>
      <c r="G22" s="53" t="s">
        <v>605</v>
      </c>
    </row>
    <row r="23" spans="2:7" s="34" customFormat="1" ht="25.5">
      <c r="B23" s="862"/>
      <c r="C23" s="53">
        <v>53946.02</v>
      </c>
      <c r="D23" s="53"/>
      <c r="E23" s="53"/>
      <c r="F23" s="53"/>
      <c r="G23" s="53" t="s">
        <v>606</v>
      </c>
    </row>
    <row r="24" spans="2:7" s="34" customFormat="1" ht="12.75">
      <c r="B24" s="862"/>
      <c r="C24" s="53">
        <v>126083.27</v>
      </c>
      <c r="D24" s="53"/>
      <c r="E24" s="53"/>
      <c r="F24" s="53"/>
      <c r="G24" s="53" t="s">
        <v>263</v>
      </c>
    </row>
    <row r="25" spans="2:7" s="34" customFormat="1" ht="12.75">
      <c r="B25" s="862"/>
      <c r="C25" s="53"/>
      <c r="D25" s="53"/>
      <c r="E25" s="53"/>
      <c r="F25" s="53">
        <v>3233677.13</v>
      </c>
      <c r="G25" s="53" t="s">
        <v>1217</v>
      </c>
    </row>
    <row r="26" spans="2:7" s="34" customFormat="1" ht="25.5">
      <c r="B26" s="862"/>
      <c r="C26" s="53"/>
      <c r="D26" s="53"/>
      <c r="E26" s="53"/>
      <c r="F26" s="53">
        <f>456+32341.57+84310.72+24872.14+4525+290+39.6+132.26+163+491.46+222.83</f>
        <v>147844.58</v>
      </c>
      <c r="G26" s="53" t="s">
        <v>902</v>
      </c>
    </row>
    <row r="27" spans="2:7" s="34" customFormat="1" ht="35.25" customHeight="1">
      <c r="B27" s="858"/>
      <c r="C27" s="53"/>
      <c r="D27" s="53"/>
      <c r="E27" s="53"/>
      <c r="F27" s="53">
        <f>20651.07+1900+760</f>
        <v>23311.07</v>
      </c>
      <c r="G27" s="53" t="s">
        <v>608</v>
      </c>
    </row>
    <row r="28" spans="2:7" s="34" customFormat="1" ht="12.75">
      <c r="B28" s="61" t="s">
        <v>609</v>
      </c>
      <c r="C28" s="859" t="s">
        <v>610</v>
      </c>
      <c r="D28" s="860"/>
      <c r="E28" s="860"/>
      <c r="F28" s="860"/>
      <c r="G28" s="861"/>
    </row>
    <row r="29" spans="2:7" s="34" customFormat="1" ht="25.5">
      <c r="B29" s="358"/>
      <c r="C29" s="53"/>
      <c r="D29" s="53"/>
      <c r="E29" s="53"/>
      <c r="F29" s="53">
        <v>479298.35</v>
      </c>
      <c r="G29" s="53" t="s">
        <v>902</v>
      </c>
    </row>
    <row r="30" spans="2:7" s="34" customFormat="1" ht="12.75">
      <c r="B30" s="61" t="s">
        <v>611</v>
      </c>
      <c r="C30" s="859" t="s">
        <v>612</v>
      </c>
      <c r="D30" s="860"/>
      <c r="E30" s="860"/>
      <c r="F30" s="860"/>
      <c r="G30" s="861"/>
    </row>
    <row r="31" spans="2:7" s="34" customFormat="1" ht="25.5">
      <c r="B31" s="42"/>
      <c r="C31" s="53"/>
      <c r="D31" s="53"/>
      <c r="E31" s="53"/>
      <c r="F31" s="53">
        <v>33043.18</v>
      </c>
      <c r="G31" s="53" t="s">
        <v>902</v>
      </c>
    </row>
    <row r="32" spans="2:7" s="34" customFormat="1" ht="12.75">
      <c r="B32" s="61" t="s">
        <v>613</v>
      </c>
      <c r="C32" s="859" t="s">
        <v>614</v>
      </c>
      <c r="D32" s="860"/>
      <c r="E32" s="860"/>
      <c r="F32" s="860"/>
      <c r="G32" s="861"/>
    </row>
    <row r="33" spans="2:7" s="34" customFormat="1" ht="18" customHeight="1">
      <c r="B33" s="857"/>
      <c r="C33" s="53">
        <v>78316.66</v>
      </c>
      <c r="D33" s="53">
        <v>11149.6</v>
      </c>
      <c r="E33" s="55"/>
      <c r="F33" s="55"/>
      <c r="G33" s="53" t="s">
        <v>944</v>
      </c>
    </row>
    <row r="34" spans="2:7" s="34" customFormat="1" ht="21.75" customHeight="1">
      <c r="B34" s="862"/>
      <c r="C34" s="55"/>
      <c r="D34" s="53">
        <v>85708.28</v>
      </c>
      <c r="E34" s="55"/>
      <c r="F34" s="55"/>
      <c r="G34" s="53" t="s">
        <v>945</v>
      </c>
    </row>
    <row r="35" spans="2:7" s="34" customFormat="1" ht="17.25" customHeight="1">
      <c r="B35" s="862"/>
      <c r="C35" s="55"/>
      <c r="D35" s="55"/>
      <c r="E35" s="53">
        <v>0.05</v>
      </c>
      <c r="F35" s="53">
        <v>65583.93</v>
      </c>
      <c r="G35" s="53" t="s">
        <v>944</v>
      </c>
    </row>
    <row r="36" spans="2:7" s="34" customFormat="1" ht="18.75" customHeight="1">
      <c r="B36" s="862"/>
      <c r="C36" s="55"/>
      <c r="D36" s="55"/>
      <c r="E36" s="53">
        <v>0.03</v>
      </c>
      <c r="F36" s="55"/>
      <c r="G36" s="53" t="s">
        <v>946</v>
      </c>
    </row>
    <row r="37" spans="2:7" s="34" customFormat="1" ht="29.25" customHeight="1">
      <c r="B37" s="862"/>
      <c r="C37" s="55"/>
      <c r="D37" s="55"/>
      <c r="E37" s="53"/>
      <c r="F37" s="53">
        <v>16423.77</v>
      </c>
      <c r="G37" s="53" t="s">
        <v>947</v>
      </c>
    </row>
    <row r="38" spans="2:7" s="34" customFormat="1" ht="16.5" customHeight="1">
      <c r="B38" s="862"/>
      <c r="C38" s="55"/>
      <c r="D38" s="55"/>
      <c r="E38" s="55"/>
      <c r="F38" s="53">
        <v>45.89</v>
      </c>
      <c r="G38" s="53" t="s">
        <v>945</v>
      </c>
    </row>
    <row r="39" spans="2:7" s="34" customFormat="1" ht="16.5" customHeight="1">
      <c r="B39" s="862"/>
      <c r="C39" s="55"/>
      <c r="D39" s="55"/>
      <c r="E39" s="55"/>
      <c r="F39" s="53">
        <v>7605</v>
      </c>
      <c r="G39" s="53" t="s">
        <v>948</v>
      </c>
    </row>
    <row r="40" spans="2:7" s="34" customFormat="1" ht="16.5" customHeight="1">
      <c r="B40" s="862"/>
      <c r="C40" s="55"/>
      <c r="D40" s="55"/>
      <c r="E40" s="55"/>
      <c r="F40" s="53">
        <v>44050.3</v>
      </c>
      <c r="G40" s="53" t="s">
        <v>949</v>
      </c>
    </row>
    <row r="41" spans="2:7" s="34" customFormat="1" ht="16.5" customHeight="1">
      <c r="B41" s="858"/>
      <c r="C41" s="55"/>
      <c r="D41" s="55"/>
      <c r="E41" s="55"/>
      <c r="F41" s="53">
        <v>66463.62</v>
      </c>
      <c r="G41" s="53" t="s">
        <v>950</v>
      </c>
    </row>
    <row r="42" spans="2:7" s="87" customFormat="1" ht="12.75">
      <c r="B42" s="61" t="s">
        <v>258</v>
      </c>
      <c r="C42" s="859" t="s">
        <v>259</v>
      </c>
      <c r="D42" s="860"/>
      <c r="E42" s="860"/>
      <c r="F42" s="860"/>
      <c r="G42" s="861"/>
    </row>
    <row r="43" spans="2:7" s="87" customFormat="1" ht="12.75">
      <c r="B43" s="671"/>
      <c r="C43" s="55"/>
      <c r="D43" s="55"/>
      <c r="E43" s="55"/>
      <c r="F43" s="53">
        <v>5009.16</v>
      </c>
      <c r="G43" s="53" t="s">
        <v>1212</v>
      </c>
    </row>
    <row r="44" spans="2:7" s="34" customFormat="1" ht="12.75">
      <c r="B44" s="61" t="s">
        <v>260</v>
      </c>
      <c r="C44" s="859" t="s">
        <v>261</v>
      </c>
      <c r="D44" s="860"/>
      <c r="E44" s="860"/>
      <c r="F44" s="860"/>
      <c r="G44" s="861"/>
    </row>
    <row r="45" spans="2:7" s="34" customFormat="1" ht="12.75">
      <c r="B45" s="857"/>
      <c r="C45" s="53">
        <v>160</v>
      </c>
      <c r="D45" s="55"/>
      <c r="E45" s="55"/>
      <c r="F45" s="55"/>
      <c r="G45" s="53" t="s">
        <v>262</v>
      </c>
    </row>
    <row r="46" spans="2:7" s="34" customFormat="1" ht="12.75">
      <c r="B46" s="862"/>
      <c r="C46" s="55"/>
      <c r="D46" s="55"/>
      <c r="E46" s="53">
        <v>600</v>
      </c>
      <c r="F46" s="55"/>
      <c r="G46" s="53" t="s">
        <v>262</v>
      </c>
    </row>
    <row r="47" spans="2:7" s="34" customFormat="1" ht="12.75">
      <c r="B47" s="862"/>
      <c r="C47" s="55"/>
      <c r="D47" s="55"/>
      <c r="E47" s="55"/>
      <c r="F47" s="53">
        <v>4212.5</v>
      </c>
      <c r="G47" s="53" t="s">
        <v>607</v>
      </c>
    </row>
    <row r="48" spans="2:7" s="34" customFormat="1" ht="12.75">
      <c r="B48" s="859"/>
      <c r="C48" s="860"/>
      <c r="D48" s="860"/>
      <c r="E48" s="860"/>
      <c r="F48" s="860"/>
      <c r="G48" s="861"/>
    </row>
  </sheetData>
  <mergeCells count="15">
    <mergeCell ref="B33:B41"/>
    <mergeCell ref="B48:G48"/>
    <mergeCell ref="C42:G42"/>
    <mergeCell ref="C44:G44"/>
    <mergeCell ref="B45:B47"/>
    <mergeCell ref="C30:G30"/>
    <mergeCell ref="C32:G32"/>
    <mergeCell ref="C6:G6"/>
    <mergeCell ref="B7:B27"/>
    <mergeCell ref="C28:G28"/>
    <mergeCell ref="B2:G2"/>
    <mergeCell ref="B4:B5"/>
    <mergeCell ref="C4:D4"/>
    <mergeCell ref="E4:F4"/>
    <mergeCell ref="G4:G5"/>
  </mergeCells>
  <printOptions/>
  <pageMargins left="0.15748031496062992" right="0.15748031496062992" top="0.15748031496062992" bottom="0.15748031496062992" header="0.15748031496062992" footer="0.15748031496062992"/>
  <pageSetup fitToHeight="1" fitToWidth="1" horizontalDpi="600" verticalDpi="6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</sheetPr>
  <dimension ref="A1:J112"/>
  <sheetViews>
    <sheetView zoomScale="150" zoomScaleNormal="150" workbookViewId="0" topLeftCell="A30">
      <selection activeCell="A1" sqref="A1:G50"/>
    </sheetView>
  </sheetViews>
  <sheetFormatPr defaultColWidth="9.140625" defaultRowHeight="12.75"/>
  <cols>
    <col min="1" max="1" width="26.7109375" style="354" customWidth="1"/>
    <col min="2" max="2" width="13.00390625" style="354" hidden="1" customWidth="1"/>
    <col min="3" max="3" width="12.7109375" style="354" hidden="1" customWidth="1"/>
    <col min="4" max="6" width="12.7109375" style="354" customWidth="1"/>
    <col min="7" max="7" width="47.28125" style="354" customWidth="1"/>
    <col min="8" max="8" width="9.140625" style="354" customWidth="1"/>
    <col min="9" max="9" width="10.140625" style="354" bestFit="1" customWidth="1"/>
    <col min="10" max="16384" width="9.140625" style="354" customWidth="1"/>
  </cols>
  <sheetData>
    <row r="1" ht="12.75">
      <c r="G1" s="31" t="s">
        <v>1096</v>
      </c>
    </row>
    <row r="3" spans="1:7" ht="22.5" customHeight="1">
      <c r="A3" s="864" t="s">
        <v>1139</v>
      </c>
      <c r="B3" s="864"/>
      <c r="C3" s="864"/>
      <c r="D3" s="864"/>
      <c r="E3" s="864"/>
      <c r="F3" s="864"/>
      <c r="G3" s="864"/>
    </row>
    <row r="4" spans="1:7" ht="36">
      <c r="A4" s="360" t="s">
        <v>264</v>
      </c>
      <c r="B4" s="286" t="s">
        <v>265</v>
      </c>
      <c r="C4" s="286" t="s">
        <v>266</v>
      </c>
      <c r="D4" s="286" t="s">
        <v>267</v>
      </c>
      <c r="E4" s="286" t="s">
        <v>1140</v>
      </c>
      <c r="F4" s="286" t="s">
        <v>1157</v>
      </c>
      <c r="G4" s="360" t="s">
        <v>1141</v>
      </c>
    </row>
    <row r="5" spans="1:7" ht="12.75">
      <c r="A5" s="361" t="s">
        <v>268</v>
      </c>
      <c r="B5" s="362">
        <f>B6+B7+B8+B9</f>
        <v>15500</v>
      </c>
      <c r="C5" s="362"/>
      <c r="D5" s="362">
        <f>D6+D7+D8+D9</f>
        <v>19700</v>
      </c>
      <c r="E5" s="362">
        <f>E6+E7+E8+E9</f>
        <v>19568.63</v>
      </c>
      <c r="F5" s="363">
        <f>E5/D5</f>
        <v>0.9933314720812183</v>
      </c>
      <c r="G5" s="364"/>
    </row>
    <row r="6" spans="1:7" ht="12.75">
      <c r="A6" s="365" t="s">
        <v>269</v>
      </c>
      <c r="B6" s="366">
        <v>1000</v>
      </c>
      <c r="C6" s="366"/>
      <c r="D6" s="366">
        <v>1140</v>
      </c>
      <c r="E6" s="366">
        <v>1138.74</v>
      </c>
      <c r="F6" s="367">
        <f aca="true" t="shared" si="0" ref="F6:F35">E6/D6</f>
        <v>0.9988947368421053</v>
      </c>
      <c r="G6" s="365" t="s">
        <v>270</v>
      </c>
    </row>
    <row r="7" spans="1:7" ht="38.25">
      <c r="A7" s="365" t="s">
        <v>271</v>
      </c>
      <c r="B7" s="366">
        <v>5000</v>
      </c>
      <c r="C7" s="366"/>
      <c r="D7" s="366">
        <v>6330</v>
      </c>
      <c r="E7" s="366">
        <f>426.5+5894.47</f>
        <v>6320.97</v>
      </c>
      <c r="F7" s="367">
        <f t="shared" si="0"/>
        <v>0.9985734597156398</v>
      </c>
      <c r="G7" s="365" t="s">
        <v>272</v>
      </c>
    </row>
    <row r="8" spans="1:7" ht="38.25">
      <c r="A8" s="365" t="s">
        <v>273</v>
      </c>
      <c r="B8" s="366">
        <v>7000</v>
      </c>
      <c r="C8" s="366"/>
      <c r="D8" s="366">
        <v>4500</v>
      </c>
      <c r="E8" s="366">
        <f>4487.62</f>
        <v>4487.62</v>
      </c>
      <c r="F8" s="367">
        <f t="shared" si="0"/>
        <v>0.9972488888888889</v>
      </c>
      <c r="G8" s="365" t="s">
        <v>1142</v>
      </c>
    </row>
    <row r="9" spans="1:7" ht="25.5">
      <c r="A9" s="365" t="s">
        <v>274</v>
      </c>
      <c r="B9" s="366">
        <v>2500</v>
      </c>
      <c r="C9" s="366"/>
      <c r="D9" s="366">
        <v>7730</v>
      </c>
      <c r="E9" s="366">
        <f>4612.03+1652.98+971.39+384.9</f>
        <v>7621.3</v>
      </c>
      <c r="F9" s="367">
        <f t="shared" si="0"/>
        <v>0.9859379042690816</v>
      </c>
      <c r="G9" s="365" t="s">
        <v>1143</v>
      </c>
    </row>
    <row r="10" spans="1:7" ht="12.75">
      <c r="A10" s="368" t="s">
        <v>275</v>
      </c>
      <c r="B10" s="362">
        <v>15000</v>
      </c>
      <c r="C10" s="362"/>
      <c r="D10" s="362">
        <f>15000+8359</f>
        <v>23359</v>
      </c>
      <c r="E10" s="362">
        <v>23359</v>
      </c>
      <c r="F10" s="363">
        <f t="shared" si="0"/>
        <v>1</v>
      </c>
      <c r="G10" s="364" t="s">
        <v>1144</v>
      </c>
    </row>
    <row r="11" spans="1:7" ht="12.75">
      <c r="A11" s="368" t="s">
        <v>276</v>
      </c>
      <c r="B11" s="362">
        <f>B12+B13</f>
        <v>16000</v>
      </c>
      <c r="C11" s="362"/>
      <c r="D11" s="362">
        <f>D12+D13</f>
        <v>14000</v>
      </c>
      <c r="E11" s="362">
        <f>E12+E13</f>
        <v>13853.579999999998</v>
      </c>
      <c r="F11" s="363">
        <f t="shared" si="0"/>
        <v>0.9895414285714285</v>
      </c>
      <c r="G11" s="364"/>
    </row>
    <row r="12" spans="1:7" ht="25.5">
      <c r="A12" s="369" t="s">
        <v>277</v>
      </c>
      <c r="B12" s="366">
        <v>6000</v>
      </c>
      <c r="C12" s="366"/>
      <c r="D12" s="366">
        <v>5100</v>
      </c>
      <c r="E12" s="366">
        <v>5099.11</v>
      </c>
      <c r="F12" s="367">
        <f t="shared" si="0"/>
        <v>0.9998254901960784</v>
      </c>
      <c r="G12" s="365" t="s">
        <v>278</v>
      </c>
    </row>
    <row r="13" spans="1:7" ht="25.5">
      <c r="A13" s="369" t="s">
        <v>279</v>
      </c>
      <c r="B13" s="366">
        <v>10000</v>
      </c>
      <c r="C13" s="366"/>
      <c r="D13" s="366">
        <v>8900</v>
      </c>
      <c r="E13" s="366">
        <v>8754.47</v>
      </c>
      <c r="F13" s="367">
        <f t="shared" si="0"/>
        <v>0.9836483146067415</v>
      </c>
      <c r="G13" s="365" t="s">
        <v>1145</v>
      </c>
    </row>
    <row r="14" spans="1:7" s="638" customFormat="1" ht="12.75">
      <c r="A14" s="368" t="s">
        <v>280</v>
      </c>
      <c r="B14" s="362">
        <f>B15</f>
        <v>20000</v>
      </c>
      <c r="C14" s="362"/>
      <c r="D14" s="362">
        <f>D15</f>
        <v>46100</v>
      </c>
      <c r="E14" s="362">
        <f>E15</f>
        <v>46014.69</v>
      </c>
      <c r="F14" s="363">
        <f t="shared" si="0"/>
        <v>0.9981494577006508</v>
      </c>
      <c r="G14" s="370"/>
    </row>
    <row r="15" spans="1:9" ht="51">
      <c r="A15" s="365" t="s">
        <v>1146</v>
      </c>
      <c r="B15" s="366">
        <v>20000</v>
      </c>
      <c r="C15" s="366"/>
      <c r="D15" s="366">
        <v>46100</v>
      </c>
      <c r="E15" s="366">
        <v>46014.69</v>
      </c>
      <c r="F15" s="367">
        <f t="shared" si="0"/>
        <v>0.9981494577006508</v>
      </c>
      <c r="G15" s="365"/>
      <c r="I15" s="377"/>
    </row>
    <row r="16" spans="1:7" ht="12.75">
      <c r="A16" s="368" t="s">
        <v>281</v>
      </c>
      <c r="B16" s="362">
        <f>B17+B18+B19+B20+B21+B22+B23</f>
        <v>28000</v>
      </c>
      <c r="C16" s="362"/>
      <c r="D16" s="362">
        <f>D17+D18+D19+D20+D21+D22+D23</f>
        <v>26600</v>
      </c>
      <c r="E16" s="362">
        <f>E17+E18+E19+E20+E21+E22+E23</f>
        <v>26461.63</v>
      </c>
      <c r="F16" s="363">
        <f t="shared" si="0"/>
        <v>0.9947981203007519</v>
      </c>
      <c r="G16" s="364"/>
    </row>
    <row r="17" spans="1:7" ht="12.75">
      <c r="A17" s="369" t="s">
        <v>282</v>
      </c>
      <c r="B17" s="366">
        <v>1000</v>
      </c>
      <c r="C17" s="366"/>
      <c r="D17" s="366">
        <v>680</v>
      </c>
      <c r="E17" s="366">
        <f>374.4+299.84</f>
        <v>674.24</v>
      </c>
      <c r="F17" s="367">
        <f t="shared" si="0"/>
        <v>0.9915294117647059</v>
      </c>
      <c r="G17" s="365" t="s">
        <v>283</v>
      </c>
    </row>
    <row r="18" spans="1:7" ht="38.25">
      <c r="A18" s="369" t="s">
        <v>284</v>
      </c>
      <c r="B18" s="366">
        <v>6500</v>
      </c>
      <c r="C18" s="366"/>
      <c r="D18" s="366">
        <v>5620</v>
      </c>
      <c r="E18" s="366">
        <v>5613.26</v>
      </c>
      <c r="F18" s="367">
        <f t="shared" si="0"/>
        <v>0.9988007117437723</v>
      </c>
      <c r="G18" s="365" t="s">
        <v>1056</v>
      </c>
    </row>
    <row r="19" spans="1:7" ht="25.5">
      <c r="A19" s="369" t="s">
        <v>1057</v>
      </c>
      <c r="B19" s="366">
        <v>1800</v>
      </c>
      <c r="C19" s="366"/>
      <c r="D19" s="366">
        <v>450</v>
      </c>
      <c r="E19" s="366">
        <v>423.72</v>
      </c>
      <c r="F19" s="367">
        <f t="shared" si="0"/>
        <v>0.9416000000000001</v>
      </c>
      <c r="G19" s="365" t="s">
        <v>1058</v>
      </c>
    </row>
    <row r="20" spans="1:7" ht="25.5">
      <c r="A20" s="369" t="s">
        <v>1059</v>
      </c>
      <c r="B20" s="366">
        <v>8700</v>
      </c>
      <c r="C20" s="366"/>
      <c r="D20" s="366">
        <v>8650</v>
      </c>
      <c r="E20" s="366">
        <v>8640</v>
      </c>
      <c r="F20" s="367">
        <f t="shared" si="0"/>
        <v>0.9988439306358381</v>
      </c>
      <c r="G20" s="365" t="s">
        <v>1060</v>
      </c>
    </row>
    <row r="21" spans="1:7" ht="12.75">
      <c r="A21" s="369" t="s">
        <v>1061</v>
      </c>
      <c r="B21" s="366">
        <v>2000</v>
      </c>
      <c r="C21" s="366"/>
      <c r="D21" s="366">
        <v>1910</v>
      </c>
      <c r="E21" s="366">
        <v>1903.2</v>
      </c>
      <c r="F21" s="367">
        <f t="shared" si="0"/>
        <v>0.9964397905759163</v>
      </c>
      <c r="G21" s="365" t="s">
        <v>1062</v>
      </c>
    </row>
    <row r="22" spans="1:7" ht="25.5">
      <c r="A22" s="369" t="s">
        <v>1063</v>
      </c>
      <c r="B22" s="366">
        <v>4000</v>
      </c>
      <c r="C22" s="366"/>
      <c r="D22" s="366">
        <v>7300</v>
      </c>
      <c r="E22" s="366">
        <f>1432.95+1152.9+4698.22</f>
        <v>7284.070000000001</v>
      </c>
      <c r="F22" s="367">
        <f t="shared" si="0"/>
        <v>0.9978178082191782</v>
      </c>
      <c r="G22" s="365" t="s">
        <v>1147</v>
      </c>
    </row>
    <row r="23" spans="1:7" ht="25.5">
      <c r="A23" s="369" t="s">
        <v>1064</v>
      </c>
      <c r="B23" s="366">
        <v>4000</v>
      </c>
      <c r="C23" s="366"/>
      <c r="D23" s="366">
        <v>1990</v>
      </c>
      <c r="E23" s="366">
        <f>1170.8+652.34+100</f>
        <v>1923.1399999999999</v>
      </c>
      <c r="F23" s="367">
        <f t="shared" si="0"/>
        <v>0.9664020100502512</v>
      </c>
      <c r="G23" s="365" t="s">
        <v>1148</v>
      </c>
    </row>
    <row r="24" spans="1:7" ht="12.75">
      <c r="A24" s="368" t="s">
        <v>1065</v>
      </c>
      <c r="B24" s="362">
        <f>B25+B26</f>
        <v>186000</v>
      </c>
      <c r="C24" s="362"/>
      <c r="D24" s="362">
        <f>D25+D26</f>
        <v>185200</v>
      </c>
      <c r="E24" s="362">
        <f>E25+E26</f>
        <v>183702.14</v>
      </c>
      <c r="F24" s="363">
        <f t="shared" si="0"/>
        <v>0.9919122030237582</v>
      </c>
      <c r="G24" s="364"/>
    </row>
    <row r="25" spans="1:7" ht="38.25">
      <c r="A25" s="369" t="s">
        <v>1066</v>
      </c>
      <c r="B25" s="366">
        <v>172000</v>
      </c>
      <c r="C25" s="366"/>
      <c r="D25" s="366">
        <v>173200</v>
      </c>
      <c r="E25" s="366">
        <v>172361.14</v>
      </c>
      <c r="F25" s="367">
        <f t="shared" si="0"/>
        <v>0.9951566974595843</v>
      </c>
      <c r="G25" s="365" t="s">
        <v>1149</v>
      </c>
    </row>
    <row r="26" spans="1:10" ht="25.5">
      <c r="A26" s="369" t="s">
        <v>1067</v>
      </c>
      <c r="B26" s="366">
        <v>14000</v>
      </c>
      <c r="C26" s="366"/>
      <c r="D26" s="366">
        <v>12000</v>
      </c>
      <c r="E26" s="366">
        <f>10500+841</f>
        <v>11341</v>
      </c>
      <c r="F26" s="367">
        <f t="shared" si="0"/>
        <v>0.9450833333333334</v>
      </c>
      <c r="G26" s="365" t="s">
        <v>1068</v>
      </c>
      <c r="J26" s="377"/>
    </row>
    <row r="27" spans="1:7" ht="25.5">
      <c r="A27" s="371" t="s">
        <v>1069</v>
      </c>
      <c r="B27" s="372">
        <v>31000</v>
      </c>
      <c r="C27" s="372"/>
      <c r="D27" s="372">
        <v>32000</v>
      </c>
      <c r="E27" s="372">
        <v>31458.8</v>
      </c>
      <c r="F27" s="367">
        <f t="shared" si="0"/>
        <v>0.9830875</v>
      </c>
      <c r="G27" s="373" t="s">
        <v>1070</v>
      </c>
    </row>
    <row r="28" spans="1:7" ht="25.5">
      <c r="A28" s="371" t="s">
        <v>1071</v>
      </c>
      <c r="B28" s="372">
        <v>3500</v>
      </c>
      <c r="C28" s="372"/>
      <c r="D28" s="372">
        <v>3500</v>
      </c>
      <c r="E28" s="372">
        <v>3486.6</v>
      </c>
      <c r="F28" s="367">
        <f t="shared" si="0"/>
        <v>0.9961714285714286</v>
      </c>
      <c r="G28" s="373" t="s">
        <v>1072</v>
      </c>
    </row>
    <row r="29" spans="1:7" ht="25.5">
      <c r="A29" s="374" t="s">
        <v>1073</v>
      </c>
      <c r="B29" s="372">
        <v>2200</v>
      </c>
      <c r="C29" s="372"/>
      <c r="D29" s="372">
        <v>2000</v>
      </c>
      <c r="E29" s="372">
        <v>1845.67</v>
      </c>
      <c r="F29" s="367">
        <f t="shared" si="0"/>
        <v>0.9228350000000001</v>
      </c>
      <c r="G29" s="365" t="s">
        <v>1074</v>
      </c>
    </row>
    <row r="30" spans="1:7" ht="25.5">
      <c r="A30" s="375" t="s">
        <v>1075</v>
      </c>
      <c r="B30" s="372">
        <v>1300</v>
      </c>
      <c r="C30" s="372"/>
      <c r="D30" s="372">
        <v>550</v>
      </c>
      <c r="E30" s="372">
        <v>546.1</v>
      </c>
      <c r="F30" s="367">
        <f t="shared" si="0"/>
        <v>0.992909090909091</v>
      </c>
      <c r="G30" s="365" t="s">
        <v>1076</v>
      </c>
    </row>
    <row r="31" spans="1:7" ht="25.5">
      <c r="A31" s="375" t="s">
        <v>1077</v>
      </c>
      <c r="B31" s="372">
        <v>2500</v>
      </c>
      <c r="C31" s="372"/>
      <c r="D31" s="372">
        <v>2250</v>
      </c>
      <c r="E31" s="372">
        <v>2236.23</v>
      </c>
      <c r="F31" s="367">
        <f t="shared" si="0"/>
        <v>0.99388</v>
      </c>
      <c r="G31" s="365" t="s">
        <v>1078</v>
      </c>
    </row>
    <row r="32" spans="1:7" ht="25.5">
      <c r="A32" s="375" t="s">
        <v>1079</v>
      </c>
      <c r="B32" s="372">
        <v>3000</v>
      </c>
      <c r="C32" s="372"/>
      <c r="D32" s="372">
        <v>900</v>
      </c>
      <c r="E32" s="372">
        <v>830.89</v>
      </c>
      <c r="F32" s="367">
        <f t="shared" si="0"/>
        <v>0.9232111111111111</v>
      </c>
      <c r="G32" s="365" t="s">
        <v>1150</v>
      </c>
    </row>
    <row r="33" spans="1:9" ht="12.75">
      <c r="A33" s="374" t="s">
        <v>1080</v>
      </c>
      <c r="B33" s="372"/>
      <c r="C33" s="372"/>
      <c r="D33" s="372"/>
      <c r="E33" s="372">
        <v>6452.22</v>
      </c>
      <c r="F33" s="367"/>
      <c r="G33" s="365" t="s">
        <v>1081</v>
      </c>
      <c r="I33" s="377"/>
    </row>
    <row r="34" spans="1:7" ht="12.75">
      <c r="A34" s="374"/>
      <c r="B34" s="372"/>
      <c r="C34" s="372"/>
      <c r="D34" s="372"/>
      <c r="E34" s="372"/>
      <c r="F34" s="367"/>
      <c r="G34" s="365"/>
    </row>
    <row r="35" spans="1:7" ht="12.75">
      <c r="A35" s="368" t="s">
        <v>1082</v>
      </c>
      <c r="B35" s="362">
        <f>B33+B32+B31+B30+B29+B28+B27+B24+B16+B11+B10+B5+B14</f>
        <v>324000</v>
      </c>
      <c r="C35" s="362"/>
      <c r="D35" s="698">
        <f>D24+D16+D14+D11+D10+D5+D27+D28+D29+D30+D31+D32+D33</f>
        <v>356159</v>
      </c>
      <c r="E35" s="698">
        <f>E32+E31+E30+E29+E28+E27+E24+E16+E5+E10+E11+E14</f>
        <v>353363.96</v>
      </c>
      <c r="F35" s="699">
        <f t="shared" si="0"/>
        <v>0.9921522690708364</v>
      </c>
      <c r="G35" s="364"/>
    </row>
    <row r="36" spans="1:7" ht="12.75">
      <c r="A36" s="376"/>
      <c r="B36" s="377"/>
      <c r="C36" s="377"/>
      <c r="D36" s="377"/>
      <c r="E36" s="377"/>
      <c r="F36" s="378"/>
      <c r="G36" s="639"/>
    </row>
    <row r="37" spans="1:7" ht="12.75">
      <c r="A37" s="379" t="s">
        <v>1083</v>
      </c>
      <c r="B37" s="380"/>
      <c r="C37" s="380"/>
      <c r="D37" s="380"/>
      <c r="E37" s="380"/>
      <c r="F37" s="381"/>
      <c r="G37" s="287" t="s">
        <v>1084</v>
      </c>
    </row>
    <row r="38" spans="1:7" ht="25.5">
      <c r="A38" s="640" t="s">
        <v>1085</v>
      </c>
      <c r="B38" s="382">
        <v>320000</v>
      </c>
      <c r="C38" s="382"/>
      <c r="D38" s="382">
        <v>345000</v>
      </c>
      <c r="E38" s="382">
        <v>345000</v>
      </c>
      <c r="F38" s="383">
        <f aca="true" t="shared" si="1" ref="F38:F45">E38/D38</f>
        <v>1</v>
      </c>
      <c r="G38" s="641" t="s">
        <v>1151</v>
      </c>
    </row>
    <row r="39" spans="1:7" ht="12.75">
      <c r="A39" s="640" t="s">
        <v>1152</v>
      </c>
      <c r="B39" s="382"/>
      <c r="C39" s="382"/>
      <c r="D39" s="382">
        <v>8359</v>
      </c>
      <c r="E39" s="382">
        <v>8359</v>
      </c>
      <c r="F39" s="383">
        <f t="shared" si="1"/>
        <v>1</v>
      </c>
      <c r="G39" s="641" t="s">
        <v>1153</v>
      </c>
    </row>
    <row r="40" spans="1:7" ht="12.75">
      <c r="A40" s="642" t="s">
        <v>1086</v>
      </c>
      <c r="B40" s="643">
        <f>B41+B42+B43+B44</f>
        <v>4000</v>
      </c>
      <c r="C40" s="643"/>
      <c r="D40" s="643">
        <f>D41+D42+D43+D44</f>
        <v>2650</v>
      </c>
      <c r="E40" s="643">
        <f>E44+E43+E42+E41</f>
        <v>1893.5</v>
      </c>
      <c r="F40" s="383">
        <f t="shared" si="1"/>
        <v>0.7145283018867925</v>
      </c>
      <c r="G40" s="641"/>
    </row>
    <row r="41" spans="1:7" ht="12.75">
      <c r="A41" s="644" t="s">
        <v>1087</v>
      </c>
      <c r="B41" s="645">
        <v>1500</v>
      </c>
      <c r="C41" s="645"/>
      <c r="D41" s="645">
        <v>1050</v>
      </c>
      <c r="E41" s="645">
        <v>442.4</v>
      </c>
      <c r="F41" s="383">
        <f t="shared" si="1"/>
        <v>0.42133333333333334</v>
      </c>
      <c r="G41" s="641" t="s">
        <v>1088</v>
      </c>
    </row>
    <row r="42" spans="1:7" ht="12.75">
      <c r="A42" s="644" t="s">
        <v>1089</v>
      </c>
      <c r="B42" s="645">
        <v>2000</v>
      </c>
      <c r="C42" s="645"/>
      <c r="D42" s="645">
        <v>1350</v>
      </c>
      <c r="E42" s="645">
        <v>1162.6</v>
      </c>
      <c r="F42" s="383">
        <f t="shared" si="1"/>
        <v>0.8611851851851852</v>
      </c>
      <c r="G42" s="641" t="s">
        <v>1090</v>
      </c>
    </row>
    <row r="43" spans="1:7" ht="12.75">
      <c r="A43" s="644" t="s">
        <v>1091</v>
      </c>
      <c r="B43" s="645">
        <v>200</v>
      </c>
      <c r="C43" s="645"/>
      <c r="D43" s="645">
        <v>130</v>
      </c>
      <c r="E43" s="645">
        <v>172</v>
      </c>
      <c r="F43" s="383">
        <f t="shared" si="1"/>
        <v>1.323076923076923</v>
      </c>
      <c r="G43" s="641" t="s">
        <v>1092</v>
      </c>
    </row>
    <row r="44" spans="1:7" ht="12.75">
      <c r="A44" s="644" t="s">
        <v>1093</v>
      </c>
      <c r="B44" s="645">
        <v>300</v>
      </c>
      <c r="C44" s="645"/>
      <c r="D44" s="645">
        <v>120</v>
      </c>
      <c r="E44" s="645">
        <v>116.5</v>
      </c>
      <c r="F44" s="383">
        <f t="shared" si="1"/>
        <v>0.9708333333333333</v>
      </c>
      <c r="G44" s="641" t="s">
        <v>1154</v>
      </c>
    </row>
    <row r="45" spans="1:9" ht="24" customHeight="1">
      <c r="A45" s="641" t="s">
        <v>1094</v>
      </c>
      <c r="B45" s="384"/>
      <c r="C45" s="384"/>
      <c r="D45" s="384">
        <v>150</v>
      </c>
      <c r="E45" s="382">
        <v>144.27</v>
      </c>
      <c r="F45" s="383">
        <f t="shared" si="1"/>
        <v>0.9618000000000001</v>
      </c>
      <c r="G45" s="641" t="s">
        <v>1095</v>
      </c>
      <c r="I45" s="377">
        <f>D46-D35</f>
        <v>0</v>
      </c>
    </row>
    <row r="46" spans="1:7" ht="12.75">
      <c r="A46" s="646" t="s">
        <v>1082</v>
      </c>
      <c r="B46" s="647">
        <f>B40+B38</f>
        <v>324000</v>
      </c>
      <c r="C46" s="647">
        <f>C40+C38</f>
        <v>0</v>
      </c>
      <c r="D46" s="696">
        <f>D45+D40+D39+D38</f>
        <v>356159</v>
      </c>
      <c r="E46" s="696">
        <f>E40+E38+E45+E39</f>
        <v>355396.77</v>
      </c>
      <c r="F46" s="697">
        <f>E46/D46</f>
        <v>0.9978598603432737</v>
      </c>
      <c r="G46" s="648"/>
    </row>
    <row r="47" spans="1:6" ht="12.75">
      <c r="A47" s="376"/>
      <c r="B47" s="377"/>
      <c r="C47" s="377"/>
      <c r="D47" s="377"/>
      <c r="E47" s="377"/>
      <c r="F47" s="378"/>
    </row>
    <row r="48" spans="1:7" ht="12.75">
      <c r="A48" s="863" t="s">
        <v>1155</v>
      </c>
      <c r="B48" s="863"/>
      <c r="C48" s="863"/>
      <c r="D48" s="863"/>
      <c r="E48" s="863"/>
      <c r="F48" s="863"/>
      <c r="G48" s="863"/>
    </row>
    <row r="49" spans="1:6" ht="12.75">
      <c r="A49" s="376"/>
      <c r="B49" s="377"/>
      <c r="C49" s="377"/>
      <c r="D49" s="377"/>
      <c r="E49" s="377"/>
      <c r="F49" s="378"/>
    </row>
    <row r="50" spans="1:6" ht="12.75">
      <c r="A50" s="376" t="s">
        <v>1156</v>
      </c>
      <c r="C50" s="377"/>
      <c r="D50" s="377"/>
      <c r="E50" s="377"/>
      <c r="F50" s="378"/>
    </row>
    <row r="51" spans="1:6" ht="12.75">
      <c r="A51" s="376"/>
      <c r="C51" s="377"/>
      <c r="D51" s="377"/>
      <c r="E51" s="377"/>
      <c r="F51" s="378"/>
    </row>
    <row r="52" spans="1:6" ht="12.75">
      <c r="A52" s="376"/>
      <c r="F52" s="378"/>
    </row>
    <row r="53" spans="1:6" ht="12.75">
      <c r="A53" s="376"/>
      <c r="F53" s="378"/>
    </row>
    <row r="54" spans="1:6" ht="12.75">
      <c r="A54" s="376"/>
      <c r="F54" s="378"/>
    </row>
    <row r="55" spans="1:6" ht="12.75">
      <c r="A55" s="376"/>
      <c r="F55" s="378"/>
    </row>
    <row r="56" spans="1:6" ht="12.75">
      <c r="A56" s="376"/>
      <c r="F56" s="378"/>
    </row>
    <row r="57" spans="1:6" ht="12.75">
      <c r="A57" s="376"/>
      <c r="F57" s="378"/>
    </row>
    <row r="58" spans="1:6" ht="12.75">
      <c r="A58" s="376"/>
      <c r="F58" s="378"/>
    </row>
    <row r="59" spans="1:6" ht="12.75">
      <c r="A59" s="376"/>
      <c r="F59" s="378"/>
    </row>
    <row r="60" spans="1:6" ht="12.75">
      <c r="A60" s="376"/>
      <c r="F60" s="378"/>
    </row>
    <row r="61" spans="1:6" ht="12.75">
      <c r="A61" s="376"/>
      <c r="F61" s="378"/>
    </row>
    <row r="62" ht="12.75">
      <c r="A62" s="376"/>
    </row>
    <row r="63" ht="12.75">
      <c r="A63" s="376"/>
    </row>
    <row r="64" ht="12.75">
      <c r="A64" s="376"/>
    </row>
    <row r="65" ht="12.75">
      <c r="A65" s="376"/>
    </row>
    <row r="66" ht="12.75">
      <c r="A66" s="376"/>
    </row>
    <row r="67" ht="12.75">
      <c r="A67" s="376"/>
    </row>
    <row r="68" ht="12.75">
      <c r="A68" s="376"/>
    </row>
    <row r="69" ht="12.75">
      <c r="A69" s="376"/>
    </row>
    <row r="70" ht="12.75">
      <c r="A70" s="376"/>
    </row>
    <row r="71" ht="12.75">
      <c r="A71" s="376"/>
    </row>
    <row r="72" ht="12.75">
      <c r="A72" s="376"/>
    </row>
    <row r="73" ht="12.75">
      <c r="A73" s="376"/>
    </row>
    <row r="74" ht="12.75">
      <c r="A74" s="376"/>
    </row>
    <row r="75" ht="12.75">
      <c r="A75" s="376"/>
    </row>
    <row r="76" ht="12.75">
      <c r="A76" s="376"/>
    </row>
    <row r="77" ht="12.75">
      <c r="A77" s="376"/>
    </row>
    <row r="78" ht="12.75">
      <c r="A78" s="376"/>
    </row>
    <row r="79" ht="12.75">
      <c r="A79" s="376"/>
    </row>
    <row r="80" ht="12.75">
      <c r="A80" s="376"/>
    </row>
    <row r="81" ht="12.75">
      <c r="A81" s="376"/>
    </row>
    <row r="82" ht="12.75">
      <c r="A82" s="376"/>
    </row>
    <row r="83" ht="12.75">
      <c r="A83" s="376"/>
    </row>
    <row r="84" ht="12.75">
      <c r="A84" s="376"/>
    </row>
    <row r="85" ht="12.75">
      <c r="A85" s="376"/>
    </row>
    <row r="86" ht="12.75">
      <c r="A86" s="376"/>
    </row>
    <row r="87" ht="12.75">
      <c r="A87" s="376"/>
    </row>
    <row r="88" ht="12.75">
      <c r="A88" s="376"/>
    </row>
    <row r="89" ht="12.75">
      <c r="A89" s="376"/>
    </row>
    <row r="90" ht="12.75">
      <c r="A90" s="376"/>
    </row>
    <row r="91" ht="12.75">
      <c r="A91" s="376"/>
    </row>
    <row r="92" ht="12.75">
      <c r="A92" s="376"/>
    </row>
    <row r="93" ht="12.75">
      <c r="A93" s="376"/>
    </row>
    <row r="94" ht="12.75">
      <c r="A94" s="376"/>
    </row>
    <row r="95" ht="12.75">
      <c r="A95" s="376"/>
    </row>
    <row r="96" ht="12.75">
      <c r="A96" s="376"/>
    </row>
    <row r="97" ht="12.75">
      <c r="A97" s="376"/>
    </row>
    <row r="98" ht="12.75">
      <c r="A98" s="376"/>
    </row>
    <row r="99" ht="12.75">
      <c r="A99" s="376"/>
    </row>
    <row r="100" ht="12.75">
      <c r="A100" s="376"/>
    </row>
    <row r="101" ht="12.75">
      <c r="A101" s="376"/>
    </row>
    <row r="102" ht="12.75">
      <c r="A102" s="376"/>
    </row>
    <row r="103" ht="12.75">
      <c r="A103" s="376"/>
    </row>
    <row r="104" ht="12.75">
      <c r="A104" s="376"/>
    </row>
    <row r="105" ht="12.75">
      <c r="A105" s="376"/>
    </row>
    <row r="106" ht="12.75">
      <c r="A106" s="376"/>
    </row>
    <row r="107" ht="12.75">
      <c r="A107" s="376"/>
    </row>
    <row r="108" ht="12.75">
      <c r="A108" s="376"/>
    </row>
    <row r="109" ht="12.75">
      <c r="A109" s="376"/>
    </row>
    <row r="110" ht="12.75">
      <c r="A110" s="376"/>
    </row>
    <row r="111" ht="12.75">
      <c r="A111" s="376"/>
    </row>
    <row r="112" ht="12.75">
      <c r="A112" s="376"/>
    </row>
  </sheetData>
  <mergeCells count="2">
    <mergeCell ref="A48:G48"/>
    <mergeCell ref="A3:G3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4"/>
  </sheetPr>
  <dimension ref="A1:AA76"/>
  <sheetViews>
    <sheetView zoomScale="150" zoomScaleNormal="150" workbookViewId="0" topLeftCell="A31">
      <selection activeCell="A1" sqref="A1:Y48"/>
    </sheetView>
  </sheetViews>
  <sheetFormatPr defaultColWidth="9.140625" defaultRowHeight="12.75"/>
  <cols>
    <col min="1" max="1" width="33.28125" style="28" customWidth="1"/>
    <col min="2" max="2" width="16.57421875" style="88" hidden="1" customWidth="1"/>
    <col min="3" max="4" width="13.421875" style="88" hidden="1" customWidth="1"/>
    <col min="5" max="5" width="13.28125" style="88" hidden="1" customWidth="1"/>
    <col min="6" max="6" width="15.28125" style="88" hidden="1" customWidth="1"/>
    <col min="7" max="7" width="5.7109375" style="88" hidden="1" customWidth="1"/>
    <col min="8" max="8" width="14.140625" style="88" hidden="1" customWidth="1"/>
    <col min="9" max="9" width="15.28125" style="88" hidden="1" customWidth="1"/>
    <col min="10" max="10" width="5.7109375" style="88" hidden="1" customWidth="1"/>
    <col min="11" max="11" width="14.140625" style="88" customWidth="1"/>
    <col min="12" max="12" width="13.421875" style="88" hidden="1" customWidth="1"/>
    <col min="13" max="13" width="16.421875" style="283" hidden="1" customWidth="1"/>
    <col min="14" max="14" width="16.140625" style="24" hidden="1" customWidth="1"/>
    <col min="15" max="15" width="15.7109375" style="88" hidden="1" customWidth="1"/>
    <col min="16" max="16" width="16.421875" style="283" hidden="1" customWidth="1"/>
    <col min="17" max="17" width="16.140625" style="24" hidden="1" customWidth="1"/>
    <col min="18" max="18" width="42.140625" style="24" hidden="1" customWidth="1"/>
    <col min="19" max="19" width="13.421875" style="88" hidden="1" customWidth="1"/>
    <col min="20" max="20" width="12.00390625" style="283" hidden="1" customWidth="1"/>
    <col min="21" max="21" width="16.140625" style="24" hidden="1" customWidth="1"/>
    <col min="22" max="22" width="14.57421875" style="88" customWidth="1"/>
    <col min="23" max="23" width="8.7109375" style="283" customWidth="1"/>
    <col min="24" max="24" width="16.140625" style="24" hidden="1" customWidth="1"/>
    <col min="25" max="25" width="40.8515625" style="24" customWidth="1"/>
    <col min="26" max="26" width="12.7109375" style="24" bestFit="1" customWidth="1"/>
    <col min="27" max="28" width="9.140625" style="24" customWidth="1"/>
    <col min="29" max="29" width="12.421875" style="24" bestFit="1" customWidth="1"/>
    <col min="30" max="16384" width="9.140625" style="24" customWidth="1"/>
  </cols>
  <sheetData>
    <row r="1" spans="18:25" ht="12.75">
      <c r="R1" s="31" t="s">
        <v>1097</v>
      </c>
      <c r="Y1" s="31" t="s">
        <v>1098</v>
      </c>
    </row>
    <row r="2" spans="1:25" ht="16.5" thickBot="1">
      <c r="A2" s="878" t="s">
        <v>837</v>
      </c>
      <c r="B2" s="878"/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  <c r="P2" s="878"/>
      <c r="Q2" s="878"/>
      <c r="R2" s="878"/>
      <c r="S2" s="878"/>
      <c r="T2" s="878"/>
      <c r="U2" s="878"/>
      <c r="V2" s="878"/>
      <c r="W2" s="878"/>
      <c r="X2" s="878"/>
      <c r="Y2" s="878"/>
    </row>
    <row r="3" spans="1:24" ht="17.25" customHeight="1" hidden="1">
      <c r="A3" s="385"/>
      <c r="B3" s="386" t="s">
        <v>1099</v>
      </c>
      <c r="C3" s="387"/>
      <c r="D3" s="387"/>
      <c r="E3" s="387"/>
      <c r="F3" s="387"/>
      <c r="G3" s="387"/>
      <c r="H3" s="388"/>
      <c r="I3" s="387"/>
      <c r="J3" s="387"/>
      <c r="K3" s="388"/>
      <c r="L3" s="389" t="s">
        <v>1100</v>
      </c>
      <c r="M3" s="390"/>
      <c r="N3" s="390"/>
      <c r="O3" s="389" t="s">
        <v>1100</v>
      </c>
      <c r="P3" s="390"/>
      <c r="Q3" s="391"/>
      <c r="S3" s="389" t="s">
        <v>1100</v>
      </c>
      <c r="T3" s="390"/>
      <c r="U3" s="391"/>
      <c r="V3" s="389" t="s">
        <v>1100</v>
      </c>
      <c r="W3" s="390"/>
      <c r="X3" s="391"/>
    </row>
    <row r="4" spans="1:25" s="288" customFormat="1" ht="28.5" customHeight="1">
      <c r="A4" s="876" t="s">
        <v>264</v>
      </c>
      <c r="B4" s="873" t="s">
        <v>1101</v>
      </c>
      <c r="C4" s="871" t="s">
        <v>1102</v>
      </c>
      <c r="D4" s="869" t="s">
        <v>308</v>
      </c>
      <c r="E4" s="867" t="s">
        <v>309</v>
      </c>
      <c r="F4" s="393" t="s">
        <v>310</v>
      </c>
      <c r="G4" s="393"/>
      <c r="H4" s="867" t="s">
        <v>311</v>
      </c>
      <c r="I4" s="392" t="s">
        <v>312</v>
      </c>
      <c r="J4" s="393"/>
      <c r="K4" s="867" t="s">
        <v>425</v>
      </c>
      <c r="L4" s="867" t="s">
        <v>313</v>
      </c>
      <c r="M4" s="394" t="s">
        <v>314</v>
      </c>
      <c r="N4" s="865" t="s">
        <v>315</v>
      </c>
      <c r="O4" s="867" t="s">
        <v>316</v>
      </c>
      <c r="P4" s="395" t="s">
        <v>314</v>
      </c>
      <c r="Q4" s="876" t="s">
        <v>317</v>
      </c>
      <c r="R4" s="876" t="s">
        <v>318</v>
      </c>
      <c r="S4" s="880" t="s">
        <v>319</v>
      </c>
      <c r="T4" s="395" t="s">
        <v>314</v>
      </c>
      <c r="U4" s="876" t="s">
        <v>320</v>
      </c>
      <c r="V4" s="867" t="s">
        <v>835</v>
      </c>
      <c r="W4" s="876" t="s">
        <v>1104</v>
      </c>
      <c r="X4" s="876" t="s">
        <v>321</v>
      </c>
      <c r="Y4" s="876" t="s">
        <v>427</v>
      </c>
    </row>
    <row r="5" spans="1:25" s="401" customFormat="1" ht="24.75" thickBot="1">
      <c r="A5" s="877"/>
      <c r="B5" s="874"/>
      <c r="C5" s="872"/>
      <c r="D5" s="870"/>
      <c r="E5" s="868"/>
      <c r="F5" s="397" t="s">
        <v>322</v>
      </c>
      <c r="G5" s="397"/>
      <c r="H5" s="868"/>
      <c r="I5" s="396" t="s">
        <v>323</v>
      </c>
      <c r="J5" s="397"/>
      <c r="K5" s="875"/>
      <c r="L5" s="868"/>
      <c r="M5" s="399" t="s">
        <v>324</v>
      </c>
      <c r="N5" s="866"/>
      <c r="O5" s="868"/>
      <c r="P5" s="400" t="s">
        <v>325</v>
      </c>
      <c r="Q5" s="879"/>
      <c r="R5" s="877"/>
      <c r="S5" s="881"/>
      <c r="T5" s="400" t="s">
        <v>322</v>
      </c>
      <c r="U5" s="877"/>
      <c r="V5" s="875"/>
      <c r="W5" s="875"/>
      <c r="X5" s="877"/>
      <c r="Y5" s="877"/>
    </row>
    <row r="6" spans="1:25" ht="12.75">
      <c r="A6" s="402" t="s">
        <v>326</v>
      </c>
      <c r="B6" s="403">
        <f>SUM(B7:B10)</f>
        <v>17850</v>
      </c>
      <c r="C6" s="404">
        <f>SUM(C7:C10)</f>
        <v>-1200</v>
      </c>
      <c r="D6" s="405">
        <f>SUM(D7:D10)</f>
        <v>-4500</v>
      </c>
      <c r="E6" s="403">
        <f aca="true" t="shared" si="0" ref="E6:E14">SUM(B6:D6)</f>
        <v>12150</v>
      </c>
      <c r="F6" s="405">
        <f>SUM(F7:F10)</f>
        <v>50</v>
      </c>
      <c r="G6" s="405">
        <f>SUM(G7:G10)</f>
        <v>0</v>
      </c>
      <c r="H6" s="406">
        <f>SUM(E6:G6)</f>
        <v>12200</v>
      </c>
      <c r="I6" s="403">
        <f>SUM(I7:I10)</f>
        <v>400</v>
      </c>
      <c r="J6" s="405">
        <f>SUM(J7:J10)</f>
        <v>0</v>
      </c>
      <c r="K6" s="403">
        <f>SUM(K7:K11)</f>
        <v>35199</v>
      </c>
      <c r="L6" s="405">
        <f>SUM(L7:L10)</f>
        <v>0</v>
      </c>
      <c r="M6" s="407">
        <f aca="true" t="shared" si="1" ref="M6:M27">L6/E6</f>
        <v>0</v>
      </c>
      <c r="N6" s="408">
        <f aca="true" t="shared" si="2" ref="N6:N27">E6-L6</f>
        <v>12150</v>
      </c>
      <c r="O6" s="405">
        <f>SUM(O7:O10)</f>
        <v>5940.08</v>
      </c>
      <c r="P6" s="409">
        <f>O6/H6</f>
        <v>0.48689180327868853</v>
      </c>
      <c r="Q6" s="410">
        <f>H6-O6</f>
        <v>6259.92</v>
      </c>
      <c r="R6" s="411" t="s">
        <v>1027</v>
      </c>
      <c r="S6" s="405">
        <f>SUM(S7:S10)</f>
        <v>10396.11</v>
      </c>
      <c r="T6" s="409">
        <f>S6/H6</f>
        <v>0.8521401639344263</v>
      </c>
      <c r="U6" s="406">
        <f>SUM(U7:U10)</f>
        <v>1803.8899999999996</v>
      </c>
      <c r="V6" s="403">
        <f>SUM(V7:V11)</f>
        <v>35075.579999999994</v>
      </c>
      <c r="W6" s="674">
        <f>V6/K6</f>
        <v>0.9964936503877949</v>
      </c>
      <c r="X6" s="405">
        <f aca="true" t="shared" si="3" ref="X6:X38">K6-V6</f>
        <v>123.42000000000553</v>
      </c>
      <c r="Y6" s="488" t="s">
        <v>1027</v>
      </c>
    </row>
    <row r="7" spans="1:25" ht="12.75">
      <c r="A7" s="412" t="s">
        <v>327</v>
      </c>
      <c r="B7" s="413">
        <v>1500</v>
      </c>
      <c r="C7" s="414"/>
      <c r="D7" s="415">
        <v>-500</v>
      </c>
      <c r="E7" s="413">
        <f t="shared" si="0"/>
        <v>1000</v>
      </c>
      <c r="F7" s="415">
        <v>400</v>
      </c>
      <c r="G7" s="415"/>
      <c r="H7" s="416">
        <f aca="true" t="shared" si="4" ref="H7:H14">E7+F7+G7</f>
        <v>1400</v>
      </c>
      <c r="I7" s="413">
        <v>-50</v>
      </c>
      <c r="J7" s="415"/>
      <c r="K7" s="417">
        <v>1939</v>
      </c>
      <c r="L7" s="415"/>
      <c r="M7" s="418">
        <f t="shared" si="1"/>
        <v>0</v>
      </c>
      <c r="N7" s="419">
        <f t="shared" si="2"/>
        <v>1000</v>
      </c>
      <c r="O7" s="415">
        <f>'[1]4'!M208</f>
        <v>399.66</v>
      </c>
      <c r="P7" s="420">
        <f aca="true" t="shared" si="5" ref="P7:P35">O7/H7</f>
        <v>0.2854714285714286</v>
      </c>
      <c r="Q7" s="421">
        <f aca="true" t="shared" si="6" ref="Q7:Q35">H7-O7</f>
        <v>1000.3399999999999</v>
      </c>
      <c r="R7" s="422" t="s">
        <v>270</v>
      </c>
      <c r="S7" s="415">
        <f>'[1]4'!M303</f>
        <v>801.3</v>
      </c>
      <c r="T7" s="420">
        <f>S7/H7</f>
        <v>0.5723571428571428</v>
      </c>
      <c r="U7" s="423">
        <f aca="true" t="shared" si="7" ref="U7:U14">H7-S7</f>
        <v>598.7</v>
      </c>
      <c r="V7" s="413">
        <v>1875.93</v>
      </c>
      <c r="W7" s="675">
        <f>V7/K7</f>
        <v>0.9674729241877257</v>
      </c>
      <c r="X7" s="415">
        <f t="shared" si="3"/>
        <v>63.069999999999936</v>
      </c>
      <c r="Y7" s="894" t="s">
        <v>44</v>
      </c>
    </row>
    <row r="8" spans="1:25" ht="13.5" customHeight="1">
      <c r="A8" s="412" t="s">
        <v>328</v>
      </c>
      <c r="B8" s="424">
        <v>10000</v>
      </c>
      <c r="C8" s="425">
        <v>-1200</v>
      </c>
      <c r="D8" s="419">
        <v>-4000</v>
      </c>
      <c r="E8" s="413">
        <f t="shared" si="0"/>
        <v>4800</v>
      </c>
      <c r="F8" s="415">
        <v>-1200</v>
      </c>
      <c r="G8" s="415"/>
      <c r="H8" s="423">
        <f t="shared" si="4"/>
        <v>3600</v>
      </c>
      <c r="I8" s="413">
        <v>-250</v>
      </c>
      <c r="J8" s="415"/>
      <c r="K8" s="413">
        <v>7200</v>
      </c>
      <c r="L8" s="419"/>
      <c r="M8" s="418">
        <f t="shared" si="1"/>
        <v>0</v>
      </c>
      <c r="N8" s="419">
        <f t="shared" si="2"/>
        <v>4800</v>
      </c>
      <c r="O8" s="419">
        <f>'[1]4'!O208+'[1]4'!W208</f>
        <v>1520.54</v>
      </c>
      <c r="P8" s="420">
        <f t="shared" si="5"/>
        <v>0.4223722222222222</v>
      </c>
      <c r="Q8" s="421">
        <f t="shared" si="6"/>
        <v>2079.46</v>
      </c>
      <c r="R8" s="422" t="s">
        <v>329</v>
      </c>
      <c r="S8" s="419">
        <f>'[1]4'!O303+'[1]4'!W303</f>
        <v>2841.76</v>
      </c>
      <c r="T8" s="420">
        <f aca="true" t="shared" si="8" ref="T8:T33">S8/H8</f>
        <v>0.7893777777777778</v>
      </c>
      <c r="U8" s="423">
        <f t="shared" si="7"/>
        <v>758.2399999999998</v>
      </c>
      <c r="V8" s="424">
        <v>7176.21</v>
      </c>
      <c r="W8" s="675">
        <f aca="true" t="shared" si="9" ref="W8:W38">V8/K8</f>
        <v>0.9966958333333333</v>
      </c>
      <c r="X8" s="415">
        <f t="shared" si="3"/>
        <v>23.789999999999964</v>
      </c>
      <c r="Y8" s="895"/>
    </row>
    <row r="9" spans="1:25" ht="12" customHeight="1">
      <c r="A9" s="412" t="s">
        <v>330</v>
      </c>
      <c r="B9" s="424">
        <v>850</v>
      </c>
      <c r="C9" s="425"/>
      <c r="D9" s="419"/>
      <c r="E9" s="413">
        <f t="shared" si="0"/>
        <v>850</v>
      </c>
      <c r="F9" s="415">
        <v>-150</v>
      </c>
      <c r="G9" s="415"/>
      <c r="H9" s="423">
        <f t="shared" si="4"/>
        <v>700</v>
      </c>
      <c r="I9" s="413">
        <v>50</v>
      </c>
      <c r="J9" s="415"/>
      <c r="K9" s="413">
        <v>1100</v>
      </c>
      <c r="L9" s="419"/>
      <c r="M9" s="418">
        <f t="shared" si="1"/>
        <v>0</v>
      </c>
      <c r="N9" s="419">
        <f t="shared" si="2"/>
        <v>850</v>
      </c>
      <c r="O9" s="419">
        <f>'[1]4'!Q208</f>
        <v>381.85</v>
      </c>
      <c r="P9" s="420">
        <f t="shared" si="5"/>
        <v>0.5455</v>
      </c>
      <c r="Q9" s="421">
        <f t="shared" si="6"/>
        <v>318.15</v>
      </c>
      <c r="R9" s="422" t="s">
        <v>331</v>
      </c>
      <c r="S9" s="419">
        <f>'[1]4'!Q303</f>
        <v>500.75</v>
      </c>
      <c r="T9" s="420">
        <f t="shared" si="8"/>
        <v>0.7153571428571428</v>
      </c>
      <c r="U9" s="423">
        <f t="shared" si="7"/>
        <v>199.25</v>
      </c>
      <c r="V9" s="424">
        <v>1079.1</v>
      </c>
      <c r="W9" s="675">
        <f t="shared" si="9"/>
        <v>0.9809999999999999</v>
      </c>
      <c r="X9" s="415">
        <f t="shared" si="3"/>
        <v>20.90000000000009</v>
      </c>
      <c r="Y9" s="895"/>
    </row>
    <row r="10" spans="1:25" ht="13.5" customHeight="1">
      <c r="A10" s="412" t="s">
        <v>332</v>
      </c>
      <c r="B10" s="424">
        <v>5500</v>
      </c>
      <c r="C10" s="425"/>
      <c r="D10" s="419"/>
      <c r="E10" s="413">
        <f t="shared" si="0"/>
        <v>5500</v>
      </c>
      <c r="F10" s="415">
        <v>1000</v>
      </c>
      <c r="G10" s="415"/>
      <c r="H10" s="423">
        <f t="shared" si="4"/>
        <v>6500</v>
      </c>
      <c r="I10" s="413">
        <v>650</v>
      </c>
      <c r="J10" s="415"/>
      <c r="K10" s="413">
        <v>19200</v>
      </c>
      <c r="L10" s="419"/>
      <c r="M10" s="426">
        <f t="shared" si="1"/>
        <v>0</v>
      </c>
      <c r="N10" s="419">
        <f t="shared" si="2"/>
        <v>5500</v>
      </c>
      <c r="O10" s="419">
        <f>-O9-O8-O7+'[1]4'!K208+'[1]4'!I208</f>
        <v>3638.03</v>
      </c>
      <c r="P10" s="420">
        <f t="shared" si="5"/>
        <v>0.5596969230769231</v>
      </c>
      <c r="Q10" s="421">
        <f t="shared" si="6"/>
        <v>2861.97</v>
      </c>
      <c r="R10" s="422" t="s">
        <v>333</v>
      </c>
      <c r="S10" s="419">
        <f>-S9-S8-S7+'[1]4'!K303+'[1]4'!I303</f>
        <v>6252.3</v>
      </c>
      <c r="T10" s="427">
        <f t="shared" si="8"/>
        <v>0.9618923076923077</v>
      </c>
      <c r="U10" s="423">
        <f t="shared" si="7"/>
        <v>247.69999999999982</v>
      </c>
      <c r="V10" s="424">
        <v>19184.35</v>
      </c>
      <c r="W10" s="676">
        <f t="shared" si="9"/>
        <v>0.9991848958333333</v>
      </c>
      <c r="X10" s="415">
        <f t="shared" si="3"/>
        <v>15.650000000001455</v>
      </c>
      <c r="Y10" s="895"/>
    </row>
    <row r="11" spans="1:25" ht="51">
      <c r="A11" s="412" t="s">
        <v>43</v>
      </c>
      <c r="B11" s="424"/>
      <c r="C11" s="425"/>
      <c r="D11" s="419"/>
      <c r="E11" s="413"/>
      <c r="F11" s="415"/>
      <c r="G11" s="415"/>
      <c r="H11" s="423"/>
      <c r="I11" s="413"/>
      <c r="J11" s="415"/>
      <c r="K11" s="413">
        <v>5760</v>
      </c>
      <c r="L11" s="419"/>
      <c r="M11" s="426"/>
      <c r="N11" s="419"/>
      <c r="O11" s="419"/>
      <c r="P11" s="420"/>
      <c r="Q11" s="421"/>
      <c r="R11" s="422"/>
      <c r="S11" s="419"/>
      <c r="T11" s="427"/>
      <c r="U11" s="423"/>
      <c r="V11" s="424">
        <v>5759.99</v>
      </c>
      <c r="W11" s="676">
        <f>V11/K11</f>
        <v>0.9999982638888889</v>
      </c>
      <c r="X11" s="415">
        <f>K11-V11</f>
        <v>0.010000000000218279</v>
      </c>
      <c r="Y11" s="691" t="s">
        <v>40</v>
      </c>
    </row>
    <row r="12" spans="1:25" ht="25.5">
      <c r="A12" s="428" t="s">
        <v>334</v>
      </c>
      <c r="B12" s="410">
        <v>25500</v>
      </c>
      <c r="C12" s="429">
        <v>-500</v>
      </c>
      <c r="D12" s="408">
        <v>-2000</v>
      </c>
      <c r="E12" s="410">
        <f t="shared" si="0"/>
        <v>23000</v>
      </c>
      <c r="F12" s="408"/>
      <c r="G12" s="408"/>
      <c r="H12" s="430">
        <f t="shared" si="4"/>
        <v>23000</v>
      </c>
      <c r="I12" s="410">
        <v>-300</v>
      </c>
      <c r="J12" s="408"/>
      <c r="K12" s="431">
        <v>18500</v>
      </c>
      <c r="L12" s="408"/>
      <c r="M12" s="432">
        <f t="shared" si="1"/>
        <v>0</v>
      </c>
      <c r="N12" s="408">
        <f t="shared" si="2"/>
        <v>23000</v>
      </c>
      <c r="O12" s="408">
        <f>'[1]4'!AG208</f>
        <v>17508.23</v>
      </c>
      <c r="P12" s="433">
        <f t="shared" si="5"/>
        <v>0.7612273913043478</v>
      </c>
      <c r="Q12" s="410">
        <f t="shared" si="6"/>
        <v>5491.77</v>
      </c>
      <c r="R12" s="422" t="s">
        <v>335</v>
      </c>
      <c r="S12" s="408">
        <f>'[1]4'!AG303</f>
        <v>18488.99</v>
      </c>
      <c r="T12" s="434">
        <f t="shared" si="8"/>
        <v>0.8038691304347827</v>
      </c>
      <c r="U12" s="435">
        <f t="shared" si="7"/>
        <v>4511.009999999998</v>
      </c>
      <c r="V12" s="410">
        <v>18468.11</v>
      </c>
      <c r="W12" s="677">
        <f t="shared" si="9"/>
        <v>0.9982762162162162</v>
      </c>
      <c r="X12" s="408">
        <f t="shared" si="3"/>
        <v>31.889999999999418</v>
      </c>
      <c r="Y12" s="422" t="s">
        <v>335</v>
      </c>
    </row>
    <row r="13" spans="1:25" ht="16.5" customHeight="1">
      <c r="A13" s="428" t="s">
        <v>336</v>
      </c>
      <c r="B13" s="410">
        <v>700</v>
      </c>
      <c r="C13" s="429"/>
      <c r="D13" s="408"/>
      <c r="E13" s="410">
        <f t="shared" si="0"/>
        <v>700</v>
      </c>
      <c r="F13" s="408">
        <v>300</v>
      </c>
      <c r="G13" s="408"/>
      <c r="H13" s="435">
        <f t="shared" si="4"/>
        <v>1000</v>
      </c>
      <c r="I13" s="410">
        <v>300</v>
      </c>
      <c r="J13" s="408"/>
      <c r="K13" s="410">
        <v>2100</v>
      </c>
      <c r="L13" s="408"/>
      <c r="M13" s="432">
        <f t="shared" si="1"/>
        <v>0</v>
      </c>
      <c r="N13" s="408">
        <f t="shared" si="2"/>
        <v>700</v>
      </c>
      <c r="O13" s="408">
        <f>'[1]4'!AI208</f>
        <v>0</v>
      </c>
      <c r="P13" s="433">
        <f t="shared" si="5"/>
        <v>0</v>
      </c>
      <c r="Q13" s="410">
        <f t="shared" si="6"/>
        <v>1000</v>
      </c>
      <c r="R13" s="436" t="s">
        <v>1027</v>
      </c>
      <c r="S13" s="408">
        <f>'[1]4'!AI303</f>
        <v>966.13</v>
      </c>
      <c r="T13" s="432">
        <f t="shared" si="8"/>
        <v>0.96613</v>
      </c>
      <c r="U13" s="435">
        <f t="shared" si="7"/>
        <v>33.870000000000005</v>
      </c>
      <c r="V13" s="410">
        <v>2021.91</v>
      </c>
      <c r="W13" s="677">
        <f t="shared" si="9"/>
        <v>0.9628142857142857</v>
      </c>
      <c r="X13" s="408">
        <f t="shared" si="3"/>
        <v>78.08999999999992</v>
      </c>
      <c r="Y13" s="422"/>
    </row>
    <row r="14" spans="1:25" ht="25.5">
      <c r="A14" s="428" t="s">
        <v>831</v>
      </c>
      <c r="B14" s="410">
        <v>250</v>
      </c>
      <c r="C14" s="429"/>
      <c r="D14" s="408"/>
      <c r="E14" s="410">
        <f t="shared" si="0"/>
        <v>250</v>
      </c>
      <c r="F14" s="408">
        <v>50</v>
      </c>
      <c r="G14" s="408"/>
      <c r="H14" s="437">
        <f t="shared" si="4"/>
        <v>300</v>
      </c>
      <c r="I14" s="410"/>
      <c r="J14" s="408"/>
      <c r="K14" s="438">
        <v>300</v>
      </c>
      <c r="L14" s="408"/>
      <c r="M14" s="432">
        <f t="shared" si="1"/>
        <v>0</v>
      </c>
      <c r="N14" s="408">
        <f t="shared" si="2"/>
        <v>250</v>
      </c>
      <c r="O14" s="408">
        <f>'[1]4'!AK208</f>
        <v>132.02</v>
      </c>
      <c r="P14" s="433">
        <f t="shared" si="5"/>
        <v>0.4400666666666667</v>
      </c>
      <c r="Q14" s="410">
        <f t="shared" si="6"/>
        <v>167.98</v>
      </c>
      <c r="R14" s="422" t="s">
        <v>337</v>
      </c>
      <c r="S14" s="408">
        <f>'[1]4'!AK303</f>
        <v>177.03</v>
      </c>
      <c r="T14" s="432">
        <f t="shared" si="8"/>
        <v>0.5901</v>
      </c>
      <c r="U14" s="435">
        <f t="shared" si="7"/>
        <v>122.97</v>
      </c>
      <c r="V14" s="410">
        <v>298.98</v>
      </c>
      <c r="W14" s="677">
        <f t="shared" si="9"/>
        <v>0.9966</v>
      </c>
      <c r="X14" s="408">
        <f t="shared" si="3"/>
        <v>1.0199999999999818</v>
      </c>
      <c r="Y14" s="422" t="s">
        <v>337</v>
      </c>
    </row>
    <row r="15" spans="1:25" ht="12.75">
      <c r="A15" s="428" t="s">
        <v>281</v>
      </c>
      <c r="B15" s="410">
        <f aca="true" t="shared" si="10" ref="B15:L15">SUM(B16:B25)</f>
        <v>50550</v>
      </c>
      <c r="C15" s="429">
        <f t="shared" si="10"/>
        <v>-5000</v>
      </c>
      <c r="D15" s="408">
        <f t="shared" si="10"/>
        <v>-13500</v>
      </c>
      <c r="E15" s="410">
        <f t="shared" si="10"/>
        <v>32050</v>
      </c>
      <c r="F15" s="408">
        <f t="shared" si="10"/>
        <v>2670</v>
      </c>
      <c r="G15" s="408">
        <f t="shared" si="10"/>
        <v>0</v>
      </c>
      <c r="H15" s="435">
        <f t="shared" si="10"/>
        <v>34720</v>
      </c>
      <c r="I15" s="410">
        <f>SUM(I16:I25)</f>
        <v>2500</v>
      </c>
      <c r="J15" s="408">
        <f>SUM(J16:J25)</f>
        <v>0</v>
      </c>
      <c r="K15" s="410">
        <f>SUM(K16:K25)</f>
        <v>48961</v>
      </c>
      <c r="L15" s="408">
        <f t="shared" si="10"/>
        <v>0</v>
      </c>
      <c r="M15" s="432">
        <f t="shared" si="1"/>
        <v>0</v>
      </c>
      <c r="N15" s="408">
        <f t="shared" si="2"/>
        <v>32050</v>
      </c>
      <c r="O15" s="408">
        <f>SUM(O16:O25)</f>
        <v>12858.89</v>
      </c>
      <c r="P15" s="433">
        <f t="shared" si="5"/>
        <v>0.3703597350230415</v>
      </c>
      <c r="Q15" s="410">
        <f t="shared" si="6"/>
        <v>21861.11</v>
      </c>
      <c r="R15" s="439" t="s">
        <v>1027</v>
      </c>
      <c r="S15" s="408">
        <f>SUM(S16:S25)</f>
        <v>29506.480000000003</v>
      </c>
      <c r="T15" s="440">
        <f t="shared" si="8"/>
        <v>0.8498410138248849</v>
      </c>
      <c r="U15" s="435">
        <f>SUM(U16:U25)</f>
        <v>5213.52</v>
      </c>
      <c r="V15" s="410">
        <f>SUM(V16:V25)</f>
        <v>48645.28</v>
      </c>
      <c r="W15" s="677">
        <f t="shared" si="9"/>
        <v>0.9935516022957047</v>
      </c>
      <c r="X15" s="408">
        <f t="shared" si="3"/>
        <v>315.72000000000116</v>
      </c>
      <c r="Y15" s="442" t="s">
        <v>1027</v>
      </c>
    </row>
    <row r="16" spans="1:25" ht="25.5">
      <c r="A16" s="412" t="s">
        <v>338</v>
      </c>
      <c r="B16" s="424">
        <v>2500</v>
      </c>
      <c r="C16" s="425"/>
      <c r="D16" s="419">
        <v>500</v>
      </c>
      <c r="E16" s="424">
        <f aca="true" t="shared" si="11" ref="E16:E25">SUM(B16:D16)</f>
        <v>3000</v>
      </c>
      <c r="F16" s="419">
        <v>700</v>
      </c>
      <c r="G16" s="419"/>
      <c r="H16" s="441">
        <f aca="true" t="shared" si="12" ref="H16:H25">E16+F16+G16</f>
        <v>3700</v>
      </c>
      <c r="I16" s="424">
        <v>-150</v>
      </c>
      <c r="J16" s="419"/>
      <c r="K16" s="424">
        <v>5900</v>
      </c>
      <c r="L16" s="419"/>
      <c r="M16" s="418">
        <f t="shared" si="1"/>
        <v>0</v>
      </c>
      <c r="N16" s="419">
        <f t="shared" si="2"/>
        <v>3000</v>
      </c>
      <c r="O16" s="419">
        <f>'[1]4'!AM208</f>
        <v>2961.6</v>
      </c>
      <c r="P16" s="420">
        <f t="shared" si="5"/>
        <v>0.8004324324324325</v>
      </c>
      <c r="Q16" s="421">
        <f t="shared" si="6"/>
        <v>738.4000000000001</v>
      </c>
      <c r="R16" s="422" t="s">
        <v>1166</v>
      </c>
      <c r="S16" s="419">
        <f>'[1]4'!AM303</f>
        <v>3523.04</v>
      </c>
      <c r="T16" s="427">
        <f t="shared" si="8"/>
        <v>0.952172972972973</v>
      </c>
      <c r="U16" s="423">
        <f>H16-S16</f>
        <v>176.96000000000004</v>
      </c>
      <c r="V16" s="424">
        <v>5871.95</v>
      </c>
      <c r="W16" s="675">
        <f t="shared" si="9"/>
        <v>0.9952457627118644</v>
      </c>
      <c r="X16" s="415">
        <f t="shared" si="3"/>
        <v>28.050000000000182</v>
      </c>
      <c r="Y16" s="422" t="s">
        <v>45</v>
      </c>
    </row>
    <row r="17" spans="1:25" ht="30" customHeight="1">
      <c r="A17" s="412" t="s">
        <v>1167</v>
      </c>
      <c r="B17" s="424">
        <v>5200</v>
      </c>
      <c r="C17" s="425"/>
      <c r="D17" s="419">
        <v>-3000</v>
      </c>
      <c r="E17" s="424">
        <f t="shared" si="11"/>
        <v>2200</v>
      </c>
      <c r="F17" s="419"/>
      <c r="G17" s="419"/>
      <c r="H17" s="441">
        <f t="shared" si="12"/>
        <v>2200</v>
      </c>
      <c r="I17" s="424">
        <v>-300</v>
      </c>
      <c r="J17" s="419"/>
      <c r="K17" s="424">
        <v>13000</v>
      </c>
      <c r="L17" s="419"/>
      <c r="M17" s="418">
        <f t="shared" si="1"/>
        <v>0</v>
      </c>
      <c r="N17" s="419">
        <f t="shared" si="2"/>
        <v>2200</v>
      </c>
      <c r="O17" s="419">
        <f>'[1]4'!AO208</f>
        <v>998</v>
      </c>
      <c r="P17" s="420">
        <f t="shared" si="5"/>
        <v>0.4536363636363636</v>
      </c>
      <c r="Q17" s="421">
        <f t="shared" si="6"/>
        <v>1202</v>
      </c>
      <c r="R17" s="422" t="s">
        <v>371</v>
      </c>
      <c r="S17" s="419">
        <f>'[1]4'!AO303</f>
        <v>1529</v>
      </c>
      <c r="T17" s="427">
        <f t="shared" si="8"/>
        <v>0.695</v>
      </c>
      <c r="U17" s="423">
        <f aca="true" t="shared" si="13" ref="U17:U25">H17-S17</f>
        <v>671</v>
      </c>
      <c r="V17" s="424">
        <v>12907.51</v>
      </c>
      <c r="W17" s="675">
        <f t="shared" si="9"/>
        <v>0.9928853846153847</v>
      </c>
      <c r="X17" s="415">
        <f t="shared" si="3"/>
        <v>92.48999999999978</v>
      </c>
      <c r="Y17" s="422" t="s">
        <v>46</v>
      </c>
    </row>
    <row r="18" spans="1:25" ht="12.75">
      <c r="A18" s="412" t="s">
        <v>372</v>
      </c>
      <c r="B18" s="424">
        <v>3000</v>
      </c>
      <c r="C18" s="425">
        <v>-500</v>
      </c>
      <c r="D18" s="419"/>
      <c r="E18" s="424">
        <f t="shared" si="11"/>
        <v>2500</v>
      </c>
      <c r="F18" s="419">
        <v>-200</v>
      </c>
      <c r="G18" s="419"/>
      <c r="H18" s="441">
        <f t="shared" si="12"/>
        <v>2300</v>
      </c>
      <c r="I18" s="424"/>
      <c r="J18" s="419"/>
      <c r="K18" s="424">
        <v>2505</v>
      </c>
      <c r="L18" s="419"/>
      <c r="M18" s="418">
        <f t="shared" si="1"/>
        <v>0</v>
      </c>
      <c r="N18" s="419">
        <f t="shared" si="2"/>
        <v>2500</v>
      </c>
      <c r="O18" s="419">
        <f>'[1]4'!BI208</f>
        <v>1168.47</v>
      </c>
      <c r="P18" s="420">
        <f t="shared" si="5"/>
        <v>0.5080304347826087</v>
      </c>
      <c r="Q18" s="421">
        <f t="shared" si="6"/>
        <v>1131.53</v>
      </c>
      <c r="R18" s="422" t="s">
        <v>373</v>
      </c>
      <c r="S18" s="419">
        <f>'[1]4'!BI303</f>
        <v>1572.4</v>
      </c>
      <c r="T18" s="427">
        <f t="shared" si="8"/>
        <v>0.6836521739130436</v>
      </c>
      <c r="U18" s="423">
        <f t="shared" si="13"/>
        <v>727.5999999999999</v>
      </c>
      <c r="V18" s="424">
        <v>2390.36</v>
      </c>
      <c r="W18" s="675">
        <f t="shared" si="9"/>
        <v>0.9542355289421158</v>
      </c>
      <c r="X18" s="415">
        <f t="shared" si="3"/>
        <v>114.63999999999987</v>
      </c>
      <c r="Y18" s="422" t="s">
        <v>373</v>
      </c>
    </row>
    <row r="19" spans="1:25" ht="12.75">
      <c r="A19" s="412" t="s">
        <v>374</v>
      </c>
      <c r="B19" s="424">
        <v>2400</v>
      </c>
      <c r="C19" s="425"/>
      <c r="D19" s="419"/>
      <c r="E19" s="424">
        <f t="shared" si="11"/>
        <v>2400</v>
      </c>
      <c r="F19" s="419"/>
      <c r="G19" s="419"/>
      <c r="H19" s="441">
        <f t="shared" si="12"/>
        <v>2400</v>
      </c>
      <c r="I19" s="424"/>
      <c r="J19" s="419"/>
      <c r="K19" s="424">
        <f>H19+I19+J19</f>
        <v>2400</v>
      </c>
      <c r="L19" s="419"/>
      <c r="M19" s="418">
        <f t="shared" si="1"/>
        <v>0</v>
      </c>
      <c r="N19" s="419">
        <f t="shared" si="2"/>
        <v>2400</v>
      </c>
      <c r="O19" s="419">
        <f>'[1]4'!BU208</f>
        <v>1000</v>
      </c>
      <c r="P19" s="420">
        <f t="shared" si="5"/>
        <v>0.4166666666666667</v>
      </c>
      <c r="Q19" s="421">
        <f t="shared" si="6"/>
        <v>1400</v>
      </c>
      <c r="R19" s="422" t="s">
        <v>375</v>
      </c>
      <c r="S19" s="419">
        <f>'[1]4'!BU303</f>
        <v>1800</v>
      </c>
      <c r="T19" s="427">
        <f t="shared" si="8"/>
        <v>0.75</v>
      </c>
      <c r="U19" s="423">
        <f t="shared" si="13"/>
        <v>600</v>
      </c>
      <c r="V19" s="424">
        <v>2400</v>
      </c>
      <c r="W19" s="675">
        <f t="shared" si="9"/>
        <v>1</v>
      </c>
      <c r="X19" s="415">
        <f t="shared" si="3"/>
        <v>0</v>
      </c>
      <c r="Y19" s="422" t="s">
        <v>375</v>
      </c>
    </row>
    <row r="20" spans="1:25" ht="12.75">
      <c r="A20" s="412" t="s">
        <v>376</v>
      </c>
      <c r="B20" s="424">
        <v>3300</v>
      </c>
      <c r="C20" s="425"/>
      <c r="D20" s="419"/>
      <c r="E20" s="424">
        <f t="shared" si="11"/>
        <v>3300</v>
      </c>
      <c r="F20" s="419">
        <v>-300</v>
      </c>
      <c r="G20" s="419"/>
      <c r="H20" s="441">
        <f t="shared" si="12"/>
        <v>3000</v>
      </c>
      <c r="I20" s="424"/>
      <c r="J20" s="419"/>
      <c r="K20" s="424">
        <v>3400</v>
      </c>
      <c r="L20" s="419"/>
      <c r="M20" s="418">
        <f t="shared" si="1"/>
        <v>0</v>
      </c>
      <c r="N20" s="419">
        <f t="shared" si="2"/>
        <v>3300</v>
      </c>
      <c r="O20" s="419">
        <f>'[1]4'!BO208</f>
        <v>1429.07</v>
      </c>
      <c r="P20" s="420">
        <f t="shared" si="5"/>
        <v>0.47635666666666665</v>
      </c>
      <c r="Q20" s="421">
        <f t="shared" si="6"/>
        <v>1570.93</v>
      </c>
      <c r="R20" s="422" t="s">
        <v>377</v>
      </c>
      <c r="S20" s="419">
        <f>'[1]4'!BO303</f>
        <v>2034.86</v>
      </c>
      <c r="T20" s="427">
        <f t="shared" si="8"/>
        <v>0.6782866666666666</v>
      </c>
      <c r="U20" s="423">
        <f t="shared" si="13"/>
        <v>965.1400000000001</v>
      </c>
      <c r="V20" s="424">
        <v>3394.88</v>
      </c>
      <c r="W20" s="675">
        <f t="shared" si="9"/>
        <v>0.9984941176470589</v>
      </c>
      <c r="X20" s="415">
        <f t="shared" si="3"/>
        <v>5.119999999999891</v>
      </c>
      <c r="Y20" s="422" t="s">
        <v>377</v>
      </c>
    </row>
    <row r="21" spans="1:25" ht="12.75">
      <c r="A21" s="412" t="s">
        <v>378</v>
      </c>
      <c r="B21" s="424">
        <v>200</v>
      </c>
      <c r="C21" s="425"/>
      <c r="D21" s="419"/>
      <c r="E21" s="424">
        <f t="shared" si="11"/>
        <v>200</v>
      </c>
      <c r="F21" s="419"/>
      <c r="G21" s="419"/>
      <c r="H21" s="441">
        <f t="shared" si="12"/>
        <v>200</v>
      </c>
      <c r="I21" s="424"/>
      <c r="J21" s="419"/>
      <c r="K21" s="424">
        <v>150</v>
      </c>
      <c r="L21" s="419"/>
      <c r="M21" s="418">
        <f t="shared" si="1"/>
        <v>0</v>
      </c>
      <c r="N21" s="419">
        <f t="shared" si="2"/>
        <v>200</v>
      </c>
      <c r="O21" s="419">
        <f>'[1]4'!BQ208</f>
        <v>98.9</v>
      </c>
      <c r="P21" s="420">
        <f t="shared" si="5"/>
        <v>0.49450000000000005</v>
      </c>
      <c r="Q21" s="421">
        <f t="shared" si="6"/>
        <v>101.1</v>
      </c>
      <c r="R21" s="422" t="s">
        <v>379</v>
      </c>
      <c r="S21" s="419">
        <f>'[1]4'!BQ303</f>
        <v>117.06</v>
      </c>
      <c r="T21" s="427">
        <f t="shared" si="8"/>
        <v>0.5853</v>
      </c>
      <c r="U21" s="423">
        <f t="shared" si="13"/>
        <v>82.94</v>
      </c>
      <c r="V21" s="424">
        <v>136.84</v>
      </c>
      <c r="W21" s="675">
        <f t="shared" si="9"/>
        <v>0.9122666666666667</v>
      </c>
      <c r="X21" s="415">
        <f t="shared" si="3"/>
        <v>13.159999999999997</v>
      </c>
      <c r="Y21" s="422" t="s">
        <v>379</v>
      </c>
    </row>
    <row r="22" spans="1:25" ht="25.5">
      <c r="A22" s="412" t="s">
        <v>380</v>
      </c>
      <c r="B22" s="424">
        <v>1500</v>
      </c>
      <c r="C22" s="425">
        <v>-500</v>
      </c>
      <c r="D22" s="419">
        <v>-300</v>
      </c>
      <c r="E22" s="424">
        <f t="shared" si="11"/>
        <v>700</v>
      </c>
      <c r="F22" s="419"/>
      <c r="G22" s="419"/>
      <c r="H22" s="441">
        <f t="shared" si="12"/>
        <v>700</v>
      </c>
      <c r="I22" s="424">
        <v>-50</v>
      </c>
      <c r="J22" s="419"/>
      <c r="K22" s="424">
        <v>750</v>
      </c>
      <c r="L22" s="419"/>
      <c r="M22" s="418">
        <f t="shared" si="1"/>
        <v>0</v>
      </c>
      <c r="N22" s="419">
        <f t="shared" si="2"/>
        <v>700</v>
      </c>
      <c r="O22" s="419">
        <f>'[1]4'!BS208</f>
        <v>167.4</v>
      </c>
      <c r="P22" s="420">
        <f t="shared" si="5"/>
        <v>0.23914285714285716</v>
      </c>
      <c r="Q22" s="421">
        <f t="shared" si="6"/>
        <v>532.6</v>
      </c>
      <c r="R22" s="422" t="s">
        <v>880</v>
      </c>
      <c r="S22" s="419">
        <f>'[1]4'!BS303</f>
        <v>167.4</v>
      </c>
      <c r="T22" s="427">
        <f t="shared" si="8"/>
        <v>0.23914285714285716</v>
      </c>
      <c r="U22" s="423">
        <f t="shared" si="13"/>
        <v>532.6</v>
      </c>
      <c r="V22" s="424">
        <v>730.52</v>
      </c>
      <c r="W22" s="675">
        <f t="shared" si="9"/>
        <v>0.9740266666666666</v>
      </c>
      <c r="X22" s="415">
        <f t="shared" si="3"/>
        <v>19.480000000000018</v>
      </c>
      <c r="Y22" s="422" t="s">
        <v>880</v>
      </c>
    </row>
    <row r="23" spans="1:25" ht="76.5">
      <c r="A23" s="412" t="s">
        <v>881</v>
      </c>
      <c r="B23" s="413">
        <v>28600</v>
      </c>
      <c r="C23" s="425">
        <v>-4000</v>
      </c>
      <c r="D23" s="419">
        <v>-10700</v>
      </c>
      <c r="E23" s="424">
        <f t="shared" si="11"/>
        <v>13900</v>
      </c>
      <c r="F23" s="419">
        <v>-3000</v>
      </c>
      <c r="G23" s="419"/>
      <c r="H23" s="441">
        <f t="shared" si="12"/>
        <v>10900</v>
      </c>
      <c r="I23" s="424">
        <v>1600</v>
      </c>
      <c r="J23" s="419"/>
      <c r="K23" s="424">
        <v>13100</v>
      </c>
      <c r="L23" s="419"/>
      <c r="M23" s="418">
        <f t="shared" si="1"/>
        <v>0</v>
      </c>
      <c r="N23" s="419">
        <f t="shared" si="2"/>
        <v>13900</v>
      </c>
      <c r="O23" s="419">
        <f>'[1]4'!BY208</f>
        <v>2925</v>
      </c>
      <c r="P23" s="420">
        <f t="shared" si="5"/>
        <v>0.268348623853211</v>
      </c>
      <c r="Q23" s="421">
        <f t="shared" si="6"/>
        <v>7975</v>
      </c>
      <c r="R23" s="422" t="s">
        <v>882</v>
      </c>
      <c r="S23" s="419">
        <f>'[1]4'!BY303</f>
        <v>10376.65</v>
      </c>
      <c r="T23" s="427">
        <f t="shared" si="8"/>
        <v>0.9519862385321101</v>
      </c>
      <c r="U23" s="423">
        <f>H23-S23</f>
        <v>523.3500000000004</v>
      </c>
      <c r="V23" s="424">
        <v>13066</v>
      </c>
      <c r="W23" s="675">
        <f t="shared" si="9"/>
        <v>0.9974045801526717</v>
      </c>
      <c r="X23" s="415">
        <f t="shared" si="3"/>
        <v>34</v>
      </c>
      <c r="Y23" s="422" t="s">
        <v>47</v>
      </c>
    </row>
    <row r="24" spans="1:25" ht="25.5">
      <c r="A24" s="412" t="s">
        <v>883</v>
      </c>
      <c r="B24" s="424">
        <v>650</v>
      </c>
      <c r="C24" s="425"/>
      <c r="D24" s="419"/>
      <c r="E24" s="424">
        <f t="shared" si="11"/>
        <v>650</v>
      </c>
      <c r="F24" s="419">
        <v>-30</v>
      </c>
      <c r="G24" s="419"/>
      <c r="H24" s="441">
        <f t="shared" si="12"/>
        <v>620</v>
      </c>
      <c r="I24" s="424"/>
      <c r="J24" s="419"/>
      <c r="K24" s="424">
        <v>426</v>
      </c>
      <c r="L24" s="419"/>
      <c r="M24" s="418">
        <f t="shared" si="1"/>
        <v>0</v>
      </c>
      <c r="N24" s="419">
        <f t="shared" si="2"/>
        <v>650</v>
      </c>
      <c r="O24" s="419">
        <f>'[1]4'!DK208</f>
        <v>293</v>
      </c>
      <c r="P24" s="420">
        <f t="shared" si="5"/>
        <v>0.47258064516129034</v>
      </c>
      <c r="Q24" s="421">
        <f t="shared" si="6"/>
        <v>327</v>
      </c>
      <c r="R24" s="422" t="s">
        <v>884</v>
      </c>
      <c r="S24" s="419">
        <f>'[1]4'!DK303</f>
        <v>428.9</v>
      </c>
      <c r="T24" s="427">
        <f t="shared" si="8"/>
        <v>0.6917741935483871</v>
      </c>
      <c r="U24" s="423">
        <f t="shared" si="13"/>
        <v>191.10000000000002</v>
      </c>
      <c r="V24" s="424">
        <v>424.5</v>
      </c>
      <c r="W24" s="675">
        <f t="shared" si="9"/>
        <v>0.9964788732394366</v>
      </c>
      <c r="X24" s="415">
        <f t="shared" si="3"/>
        <v>1.5</v>
      </c>
      <c r="Y24" s="422" t="s">
        <v>884</v>
      </c>
    </row>
    <row r="25" spans="1:25" ht="37.5" customHeight="1">
      <c r="A25" s="412" t="s">
        <v>885</v>
      </c>
      <c r="B25" s="424">
        <v>3200</v>
      </c>
      <c r="C25" s="425"/>
      <c r="D25" s="419"/>
      <c r="E25" s="424">
        <f t="shared" si="11"/>
        <v>3200</v>
      </c>
      <c r="F25" s="419">
        <v>5500</v>
      </c>
      <c r="G25" s="419"/>
      <c r="H25" s="441">
        <f t="shared" si="12"/>
        <v>8700</v>
      </c>
      <c r="I25" s="424">
        <v>1400</v>
      </c>
      <c r="J25" s="419"/>
      <c r="K25" s="424">
        <v>7330</v>
      </c>
      <c r="L25" s="419"/>
      <c r="M25" s="418">
        <f t="shared" si="1"/>
        <v>0</v>
      </c>
      <c r="N25" s="419">
        <f t="shared" si="2"/>
        <v>3200</v>
      </c>
      <c r="O25" s="419">
        <f>'[1]4'!BK208+'[1]4'!CA208</f>
        <v>1817.45</v>
      </c>
      <c r="P25" s="420">
        <f t="shared" si="5"/>
        <v>0.2089022988505747</v>
      </c>
      <c r="Q25" s="421">
        <f t="shared" si="6"/>
        <v>6882.55</v>
      </c>
      <c r="R25" s="422" t="s">
        <v>886</v>
      </c>
      <c r="S25" s="419">
        <f>'[1]4'!BK303+'[1]4'!CA303</f>
        <v>7957.17</v>
      </c>
      <c r="T25" s="427">
        <f t="shared" si="8"/>
        <v>0.9146172413793103</v>
      </c>
      <c r="U25" s="423">
        <f t="shared" si="13"/>
        <v>742.8299999999999</v>
      </c>
      <c r="V25" s="413">
        <v>7322.72</v>
      </c>
      <c r="W25" s="675">
        <f t="shared" si="9"/>
        <v>0.9990068212824011</v>
      </c>
      <c r="X25" s="415">
        <f t="shared" si="3"/>
        <v>7.279999999999745</v>
      </c>
      <c r="Y25" s="422" t="s">
        <v>599</v>
      </c>
    </row>
    <row r="26" spans="1:25" ht="12.75">
      <c r="A26" s="428" t="s">
        <v>887</v>
      </c>
      <c r="B26" s="410">
        <f aca="true" t="shared" si="14" ref="B26:L26">SUM(B27:B30)</f>
        <v>122250</v>
      </c>
      <c r="C26" s="429">
        <f t="shared" si="14"/>
        <v>0</v>
      </c>
      <c r="D26" s="408">
        <f t="shared" si="14"/>
        <v>-1000</v>
      </c>
      <c r="E26" s="410">
        <f t="shared" si="14"/>
        <v>121250</v>
      </c>
      <c r="F26" s="408">
        <f t="shared" si="14"/>
        <v>6900</v>
      </c>
      <c r="G26" s="408">
        <f t="shared" si="14"/>
        <v>0</v>
      </c>
      <c r="H26" s="435">
        <f t="shared" si="14"/>
        <v>128150</v>
      </c>
      <c r="I26" s="410">
        <f>SUM(I27:I30)</f>
        <v>2500</v>
      </c>
      <c r="J26" s="408">
        <f>SUM(J27:J30)</f>
        <v>0</v>
      </c>
      <c r="K26" s="410">
        <f>SUM(K27:K30)</f>
        <v>140100</v>
      </c>
      <c r="L26" s="408">
        <f t="shared" si="14"/>
        <v>0</v>
      </c>
      <c r="M26" s="432">
        <f t="shared" si="1"/>
        <v>0</v>
      </c>
      <c r="N26" s="408">
        <f t="shared" si="2"/>
        <v>121250</v>
      </c>
      <c r="O26" s="408">
        <f>SUM(O27:O30)</f>
        <v>66175.87</v>
      </c>
      <c r="P26" s="433">
        <f t="shared" si="5"/>
        <v>0.5163938353492001</v>
      </c>
      <c r="Q26" s="410">
        <f t="shared" si="6"/>
        <v>61974.130000000005</v>
      </c>
      <c r="R26" s="442" t="s">
        <v>1027</v>
      </c>
      <c r="S26" s="408">
        <f>SUM(S27:S30)</f>
        <v>99704.63</v>
      </c>
      <c r="T26" s="434">
        <f t="shared" si="8"/>
        <v>0.7780306671868904</v>
      </c>
      <c r="U26" s="435">
        <f>SUM(U27:U30)</f>
        <v>28445.370000000003</v>
      </c>
      <c r="V26" s="410">
        <f>SUM(V27:V30)</f>
        <v>140033.36</v>
      </c>
      <c r="W26" s="677">
        <f>V26/K26</f>
        <v>0.9995243397573161</v>
      </c>
      <c r="X26" s="408">
        <f t="shared" si="3"/>
        <v>66.64000000001397</v>
      </c>
      <c r="Y26" s="442" t="s">
        <v>1027</v>
      </c>
    </row>
    <row r="27" spans="1:25" ht="25.5">
      <c r="A27" s="412" t="s">
        <v>48</v>
      </c>
      <c r="B27" s="424">
        <f>84800+5950+1500</f>
        <v>92250</v>
      </c>
      <c r="C27" s="425"/>
      <c r="D27" s="419">
        <v>-3500</v>
      </c>
      <c r="E27" s="424">
        <f>SUM(B27:D27)</f>
        <v>88750</v>
      </c>
      <c r="F27" s="419"/>
      <c r="G27" s="419"/>
      <c r="H27" s="441">
        <f>E27+F27+G27</f>
        <v>88750</v>
      </c>
      <c r="I27" s="424">
        <v>700</v>
      </c>
      <c r="J27" s="419"/>
      <c r="K27" s="424">
        <v>92050</v>
      </c>
      <c r="L27" s="419"/>
      <c r="M27" s="418">
        <f t="shared" si="1"/>
        <v>0</v>
      </c>
      <c r="N27" s="419">
        <f t="shared" si="2"/>
        <v>88750</v>
      </c>
      <c r="O27" s="419">
        <f>'[1]4'!CE208</f>
        <v>46547.68</v>
      </c>
      <c r="P27" s="420">
        <f t="shared" si="5"/>
        <v>0.5244809014084507</v>
      </c>
      <c r="Q27" s="421">
        <f t="shared" si="6"/>
        <v>42202.32</v>
      </c>
      <c r="R27" s="422" t="s">
        <v>888</v>
      </c>
      <c r="S27" s="419">
        <f>'[1]4'!CE303</f>
        <v>66973.67</v>
      </c>
      <c r="T27" s="427">
        <f t="shared" si="8"/>
        <v>0.7546329014084506</v>
      </c>
      <c r="U27" s="423">
        <f>H27-S27</f>
        <v>21776.33</v>
      </c>
      <c r="V27" s="424">
        <v>92034.69</v>
      </c>
      <c r="W27" s="675">
        <f t="shared" si="9"/>
        <v>0.9998336773492668</v>
      </c>
      <c r="X27" s="415">
        <f t="shared" si="3"/>
        <v>15.309999999997672</v>
      </c>
      <c r="Y27" s="894" t="s">
        <v>1103</v>
      </c>
    </row>
    <row r="28" spans="1:25" ht="25.5" customHeight="1">
      <c r="A28" s="412" t="s">
        <v>49</v>
      </c>
      <c r="B28" s="424">
        <v>11000</v>
      </c>
      <c r="C28" s="425"/>
      <c r="D28" s="419">
        <v>3000</v>
      </c>
      <c r="E28" s="424">
        <f>SUM(B28:D28)</f>
        <v>14000</v>
      </c>
      <c r="F28" s="419">
        <v>6900</v>
      </c>
      <c r="G28" s="419"/>
      <c r="H28" s="441">
        <f>E28+F28+G28</f>
        <v>20900</v>
      </c>
      <c r="I28" s="424">
        <v>1700</v>
      </c>
      <c r="J28" s="419"/>
      <c r="K28" s="424">
        <v>20250</v>
      </c>
      <c r="L28" s="419"/>
      <c r="M28" s="418"/>
      <c r="N28" s="419"/>
      <c r="O28" s="419">
        <f>'[1]4'!CG208+'[1]4'!CI208+'[1]4'!CK208</f>
        <v>9920</v>
      </c>
      <c r="P28" s="420"/>
      <c r="Q28" s="421"/>
      <c r="R28" s="422" t="s">
        <v>889</v>
      </c>
      <c r="S28" s="419">
        <f>'[1]4'!CG303+'[1]4'!CI303+'[1]4'!CK303</f>
        <v>18790</v>
      </c>
      <c r="T28" s="427">
        <f t="shared" si="8"/>
        <v>0.899043062200957</v>
      </c>
      <c r="U28" s="423">
        <f>H28-S28</f>
        <v>2110</v>
      </c>
      <c r="V28" s="424">
        <v>20242.05</v>
      </c>
      <c r="W28" s="675">
        <f t="shared" si="9"/>
        <v>0.9996074074074074</v>
      </c>
      <c r="X28" s="415">
        <f t="shared" si="3"/>
        <v>7.950000000000728</v>
      </c>
      <c r="Y28" s="895"/>
    </row>
    <row r="29" spans="1:25" ht="25.5">
      <c r="A29" s="412" t="s">
        <v>51</v>
      </c>
      <c r="B29" s="424"/>
      <c r="C29" s="425"/>
      <c r="D29" s="419"/>
      <c r="E29" s="424"/>
      <c r="F29" s="419"/>
      <c r="G29" s="419"/>
      <c r="H29" s="441"/>
      <c r="I29" s="424"/>
      <c r="J29" s="419"/>
      <c r="K29" s="424">
        <v>27750</v>
      </c>
      <c r="L29" s="419"/>
      <c r="M29" s="418"/>
      <c r="N29" s="419"/>
      <c r="O29" s="419"/>
      <c r="P29" s="420"/>
      <c r="Q29" s="421"/>
      <c r="R29" s="489"/>
      <c r="S29" s="419"/>
      <c r="T29" s="427"/>
      <c r="U29" s="423"/>
      <c r="V29" s="424">
        <v>27717.79</v>
      </c>
      <c r="W29" s="675">
        <f t="shared" si="9"/>
        <v>0.9988392792792793</v>
      </c>
      <c r="X29" s="415">
        <f t="shared" si="3"/>
        <v>32.20999999999913</v>
      </c>
      <c r="Y29" s="895"/>
    </row>
    <row r="30" spans="1:25" ht="38.25">
      <c r="A30" s="412" t="s">
        <v>50</v>
      </c>
      <c r="B30" s="424">
        <v>19000</v>
      </c>
      <c r="C30" s="425"/>
      <c r="D30" s="419">
        <v>-500</v>
      </c>
      <c r="E30" s="424">
        <f>SUM(B30:D30)</f>
        <v>18500</v>
      </c>
      <c r="F30" s="419"/>
      <c r="G30" s="419"/>
      <c r="H30" s="441">
        <f>E30+F30+G30</f>
        <v>18500</v>
      </c>
      <c r="I30" s="424">
        <v>100</v>
      </c>
      <c r="J30" s="419"/>
      <c r="K30" s="424">
        <v>50</v>
      </c>
      <c r="L30" s="419"/>
      <c r="M30" s="418">
        <f aca="true" t="shared" si="15" ref="M30:M36">L30/E30</f>
        <v>0</v>
      </c>
      <c r="N30" s="419">
        <f aca="true" t="shared" si="16" ref="N30:N36">E30-L30</f>
        <v>18500</v>
      </c>
      <c r="O30" s="419">
        <f>'[1]4'!CM208</f>
        <v>9708.19</v>
      </c>
      <c r="P30" s="420">
        <f t="shared" si="5"/>
        <v>0.524767027027027</v>
      </c>
      <c r="Q30" s="421">
        <f t="shared" si="6"/>
        <v>8791.81</v>
      </c>
      <c r="R30" s="443" t="s">
        <v>890</v>
      </c>
      <c r="S30" s="419">
        <f>'[1]4'!CM303</f>
        <v>13940.96</v>
      </c>
      <c r="T30" s="427">
        <f t="shared" si="8"/>
        <v>0.7535654054054054</v>
      </c>
      <c r="U30" s="423">
        <f>H30-S30</f>
        <v>4559.040000000001</v>
      </c>
      <c r="V30" s="424">
        <v>38.83</v>
      </c>
      <c r="W30" s="675">
        <f t="shared" si="9"/>
        <v>0.7766</v>
      </c>
      <c r="X30" s="415">
        <f t="shared" si="3"/>
        <v>11.170000000000002</v>
      </c>
      <c r="Y30" s="896"/>
    </row>
    <row r="31" spans="1:25" ht="25.5">
      <c r="A31" s="428" t="s">
        <v>891</v>
      </c>
      <c r="B31" s="410">
        <v>2400</v>
      </c>
      <c r="C31" s="429"/>
      <c r="D31" s="408">
        <v>-100</v>
      </c>
      <c r="E31" s="410">
        <f>SUM(B31:D31)</f>
        <v>2300</v>
      </c>
      <c r="F31" s="408">
        <v>-7</v>
      </c>
      <c r="G31" s="408"/>
      <c r="H31" s="435">
        <f>E31+F31+G31</f>
        <v>2293</v>
      </c>
      <c r="I31" s="410"/>
      <c r="J31" s="408"/>
      <c r="K31" s="410">
        <v>2615</v>
      </c>
      <c r="L31" s="408"/>
      <c r="M31" s="432">
        <f t="shared" si="15"/>
        <v>0</v>
      </c>
      <c r="N31" s="408">
        <f t="shared" si="16"/>
        <v>2300</v>
      </c>
      <c r="O31" s="408">
        <f>'[1]4'!CW208</f>
        <v>2293</v>
      </c>
      <c r="P31" s="433">
        <f t="shared" si="5"/>
        <v>1</v>
      </c>
      <c r="Q31" s="410">
        <f t="shared" si="6"/>
        <v>0</v>
      </c>
      <c r="R31" s="422" t="s">
        <v>1072</v>
      </c>
      <c r="S31" s="408">
        <f>'[1]4'!CW303</f>
        <v>2293</v>
      </c>
      <c r="T31" s="434">
        <f t="shared" si="8"/>
        <v>1</v>
      </c>
      <c r="U31" s="435">
        <f>H31-S31</f>
        <v>0</v>
      </c>
      <c r="V31" s="410">
        <v>2614.95</v>
      </c>
      <c r="W31" s="677">
        <f t="shared" si="9"/>
        <v>0.9999808795411089</v>
      </c>
      <c r="X31" s="408">
        <f t="shared" si="3"/>
        <v>0.0500000000001819</v>
      </c>
      <c r="Y31" s="422" t="s">
        <v>1072</v>
      </c>
    </row>
    <row r="32" spans="1:25" ht="12.75">
      <c r="A32" s="428" t="s">
        <v>832</v>
      </c>
      <c r="B32" s="410"/>
      <c r="C32" s="429"/>
      <c r="D32" s="408"/>
      <c r="E32" s="410"/>
      <c r="F32" s="408"/>
      <c r="G32" s="408"/>
      <c r="H32" s="435"/>
      <c r="I32" s="410"/>
      <c r="J32" s="408"/>
      <c r="K32" s="410">
        <v>2140</v>
      </c>
      <c r="L32" s="408"/>
      <c r="M32" s="432"/>
      <c r="N32" s="408"/>
      <c r="O32" s="408"/>
      <c r="P32" s="433"/>
      <c r="Q32" s="410"/>
      <c r="R32" s="489"/>
      <c r="S32" s="408"/>
      <c r="T32" s="434"/>
      <c r="U32" s="435"/>
      <c r="V32" s="410">
        <v>2138.2</v>
      </c>
      <c r="W32" s="677">
        <f t="shared" si="9"/>
        <v>0.9991588785046728</v>
      </c>
      <c r="X32" s="408">
        <f t="shared" si="3"/>
        <v>1.800000000000182</v>
      </c>
      <c r="Y32" s="489" t="s">
        <v>836</v>
      </c>
    </row>
    <row r="33" spans="1:25" ht="12.75">
      <c r="A33" s="428" t="s">
        <v>1077</v>
      </c>
      <c r="B33" s="410">
        <f aca="true" t="shared" si="17" ref="B33:L33">SUM(B34:B35)</f>
        <v>3500</v>
      </c>
      <c r="C33" s="429">
        <f t="shared" si="17"/>
        <v>-300</v>
      </c>
      <c r="D33" s="408">
        <f t="shared" si="17"/>
        <v>-200</v>
      </c>
      <c r="E33" s="410">
        <f t="shared" si="17"/>
        <v>3000</v>
      </c>
      <c r="F33" s="408">
        <f t="shared" si="17"/>
        <v>-348</v>
      </c>
      <c r="G33" s="408">
        <f t="shared" si="17"/>
        <v>0</v>
      </c>
      <c r="H33" s="435">
        <f t="shared" si="17"/>
        <v>2652</v>
      </c>
      <c r="I33" s="410">
        <f>SUM(I34:I35)</f>
        <v>-10</v>
      </c>
      <c r="J33" s="408">
        <f>SUM(J34:J35)</f>
        <v>0</v>
      </c>
      <c r="K33" s="410">
        <v>3250</v>
      </c>
      <c r="L33" s="408">
        <f t="shared" si="17"/>
        <v>0</v>
      </c>
      <c r="M33" s="432">
        <f t="shared" si="15"/>
        <v>0</v>
      </c>
      <c r="N33" s="408">
        <f t="shared" si="16"/>
        <v>3000</v>
      </c>
      <c r="O33" s="408">
        <f>SUM(O34:O35)</f>
        <v>1196.67</v>
      </c>
      <c r="P33" s="433">
        <f t="shared" si="5"/>
        <v>0.4512330316742082</v>
      </c>
      <c r="Q33" s="410">
        <f t="shared" si="6"/>
        <v>1455.33</v>
      </c>
      <c r="R33" s="444" t="s">
        <v>1027</v>
      </c>
      <c r="S33" s="408">
        <f>SUM(S34:S35)</f>
        <v>1804.1399999999999</v>
      </c>
      <c r="T33" s="434">
        <f t="shared" si="8"/>
        <v>0.6802941176470588</v>
      </c>
      <c r="U33" s="435">
        <f>SUM(U34:U35)</f>
        <v>847.8600000000001</v>
      </c>
      <c r="V33" s="410">
        <v>3175.58</v>
      </c>
      <c r="W33" s="677">
        <f t="shared" si="9"/>
        <v>0.9771015384615385</v>
      </c>
      <c r="X33" s="679">
        <f t="shared" si="3"/>
        <v>74.42000000000007</v>
      </c>
      <c r="Y33" s="690" t="s">
        <v>1027</v>
      </c>
    </row>
    <row r="34" spans="1:25" ht="12.75">
      <c r="A34" s="412" t="s">
        <v>892</v>
      </c>
      <c r="B34" s="424">
        <v>1000</v>
      </c>
      <c r="C34" s="425">
        <v>-300</v>
      </c>
      <c r="D34" s="419"/>
      <c r="E34" s="424">
        <f>SUM(B34:D34)</f>
        <v>700</v>
      </c>
      <c r="F34" s="419">
        <v>-108</v>
      </c>
      <c r="G34" s="419"/>
      <c r="H34" s="441">
        <f>E34+F34+G34</f>
        <v>592</v>
      </c>
      <c r="I34" s="424">
        <v>-10</v>
      </c>
      <c r="J34" s="419"/>
      <c r="K34" s="424">
        <v>250</v>
      </c>
      <c r="L34" s="419"/>
      <c r="M34" s="418">
        <f t="shared" si="15"/>
        <v>0</v>
      </c>
      <c r="N34" s="419">
        <f t="shared" si="16"/>
        <v>700</v>
      </c>
      <c r="O34" s="419">
        <f>'[1]4'!DO208</f>
        <v>205.23</v>
      </c>
      <c r="P34" s="420">
        <f t="shared" si="5"/>
        <v>0.34667229729729726</v>
      </c>
      <c r="Q34" s="421">
        <f t="shared" si="6"/>
        <v>386.77</v>
      </c>
      <c r="R34" s="422" t="s">
        <v>893</v>
      </c>
      <c r="S34" s="419">
        <f>'[1]4'!DO303</f>
        <v>315.07</v>
      </c>
      <c r="T34" s="427">
        <f>S34/H34</f>
        <v>0.5322128378378378</v>
      </c>
      <c r="U34" s="423">
        <f>H34-S34</f>
        <v>276.93</v>
      </c>
      <c r="V34" s="424">
        <v>235.37</v>
      </c>
      <c r="W34" s="675">
        <f t="shared" si="9"/>
        <v>0.94148</v>
      </c>
      <c r="X34" s="415">
        <f t="shared" si="3"/>
        <v>14.629999999999995</v>
      </c>
      <c r="Y34" s="422" t="s">
        <v>893</v>
      </c>
    </row>
    <row r="35" spans="1:25" ht="25.5">
      <c r="A35" s="412" t="s">
        <v>894</v>
      </c>
      <c r="B35" s="424">
        <v>2500</v>
      </c>
      <c r="C35" s="425"/>
      <c r="D35" s="419">
        <v>-200</v>
      </c>
      <c r="E35" s="424">
        <f>SUM(B35:D35)</f>
        <v>2300</v>
      </c>
      <c r="F35" s="419">
        <v>-240</v>
      </c>
      <c r="G35" s="419"/>
      <c r="H35" s="441">
        <f>E35+F35+G35</f>
        <v>2060</v>
      </c>
      <c r="I35" s="424"/>
      <c r="J35" s="419"/>
      <c r="K35" s="424">
        <v>3000</v>
      </c>
      <c r="L35" s="419"/>
      <c r="M35" s="418">
        <f t="shared" si="15"/>
        <v>0</v>
      </c>
      <c r="N35" s="419">
        <f t="shared" si="16"/>
        <v>2300</v>
      </c>
      <c r="O35" s="419">
        <f>'[1]4'!DQ208</f>
        <v>991.44</v>
      </c>
      <c r="P35" s="420">
        <f t="shared" si="5"/>
        <v>0.4812815533980583</v>
      </c>
      <c r="Q35" s="421">
        <f t="shared" si="6"/>
        <v>1068.56</v>
      </c>
      <c r="R35" s="422" t="s">
        <v>895</v>
      </c>
      <c r="S35" s="419">
        <f>'[1]4'!DQ303</f>
        <v>1489.07</v>
      </c>
      <c r="T35" s="427">
        <f>S35/H35</f>
        <v>0.7228495145631068</v>
      </c>
      <c r="U35" s="423">
        <f>H35-S35</f>
        <v>570.9300000000001</v>
      </c>
      <c r="V35" s="424">
        <v>2940.21</v>
      </c>
      <c r="W35" s="675">
        <f t="shared" si="9"/>
        <v>0.98007</v>
      </c>
      <c r="X35" s="415">
        <f t="shared" si="3"/>
        <v>59.789999999999964</v>
      </c>
      <c r="Y35" s="422" t="s">
        <v>895</v>
      </c>
    </row>
    <row r="36" spans="1:25" ht="25.5">
      <c r="A36" s="672" t="s">
        <v>896</v>
      </c>
      <c r="B36" s="673">
        <v>1200</v>
      </c>
      <c r="C36" s="673"/>
      <c r="D36" s="673">
        <v>-200</v>
      </c>
      <c r="E36" s="673">
        <f>SUM(B36:D36)</f>
        <v>1000</v>
      </c>
      <c r="F36" s="673">
        <v>-15</v>
      </c>
      <c r="G36" s="673"/>
      <c r="H36" s="673">
        <f>E36+F36+G36</f>
        <v>985</v>
      </c>
      <c r="I36" s="673"/>
      <c r="J36" s="693"/>
      <c r="K36" s="410">
        <v>1000</v>
      </c>
      <c r="L36" s="410"/>
      <c r="M36" s="432">
        <f t="shared" si="15"/>
        <v>0</v>
      </c>
      <c r="N36" s="410">
        <f t="shared" si="16"/>
        <v>1000</v>
      </c>
      <c r="O36" s="410">
        <f>'[1]4'!DU208</f>
        <v>985</v>
      </c>
      <c r="P36" s="433">
        <f>O36/H36</f>
        <v>1</v>
      </c>
      <c r="Q36" s="410">
        <f>H36-O36</f>
        <v>0</v>
      </c>
      <c r="R36" s="422" t="s">
        <v>897</v>
      </c>
      <c r="S36" s="410">
        <f>'[1]4'!DU303</f>
        <v>985</v>
      </c>
      <c r="T36" s="432">
        <f>S36/H36</f>
        <v>1</v>
      </c>
      <c r="U36" s="410">
        <f>H36-S36</f>
        <v>0</v>
      </c>
      <c r="V36" s="410">
        <v>979</v>
      </c>
      <c r="W36" s="677">
        <f t="shared" si="9"/>
        <v>0.979</v>
      </c>
      <c r="X36" s="679">
        <f t="shared" si="3"/>
        <v>21</v>
      </c>
      <c r="Y36" s="694"/>
    </row>
    <row r="37" spans="1:25" ht="13.5" thickBot="1">
      <c r="A37" s="672" t="s">
        <v>833</v>
      </c>
      <c r="B37" s="673"/>
      <c r="C37" s="673"/>
      <c r="D37" s="673"/>
      <c r="E37" s="673"/>
      <c r="F37" s="673"/>
      <c r="G37" s="673"/>
      <c r="H37" s="673"/>
      <c r="I37" s="673"/>
      <c r="J37" s="693"/>
      <c r="K37" s="410">
        <v>435</v>
      </c>
      <c r="L37" s="410"/>
      <c r="M37" s="432"/>
      <c r="N37" s="410"/>
      <c r="O37" s="410"/>
      <c r="P37" s="433"/>
      <c r="Q37" s="410"/>
      <c r="R37" s="422"/>
      <c r="S37" s="410"/>
      <c r="T37" s="432"/>
      <c r="U37" s="410"/>
      <c r="V37" s="410">
        <v>434.3</v>
      </c>
      <c r="W37" s="677">
        <f t="shared" si="9"/>
        <v>0.9983908045977011</v>
      </c>
      <c r="X37" s="678">
        <f t="shared" si="3"/>
        <v>0.6999999999999886</v>
      </c>
      <c r="Y37" s="694"/>
    </row>
    <row r="38" spans="1:26" s="102" customFormat="1" ht="16.5" thickBot="1">
      <c r="A38" s="683" t="s">
        <v>898</v>
      </c>
      <c r="B38" s="684">
        <f aca="true" t="shared" si="18" ref="B38:H38">B36+B33+B31+B26+B15+B14+B12+B6+B13</f>
        <v>224200</v>
      </c>
      <c r="C38" s="684">
        <f t="shared" si="18"/>
        <v>-7000</v>
      </c>
      <c r="D38" s="684">
        <f t="shared" si="18"/>
        <v>-21500</v>
      </c>
      <c r="E38" s="684">
        <f t="shared" si="18"/>
        <v>195700</v>
      </c>
      <c r="F38" s="684">
        <f t="shared" si="18"/>
        <v>9600</v>
      </c>
      <c r="G38" s="684">
        <f t="shared" si="18"/>
        <v>0</v>
      </c>
      <c r="H38" s="685">
        <f t="shared" si="18"/>
        <v>205300</v>
      </c>
      <c r="I38" s="684" t="e">
        <f>I36+I33+I31+I26+I15+I14+I12+I6+I13+#REF!+#REF!</f>
        <v>#REF!</v>
      </c>
      <c r="J38" s="684" t="e">
        <f>J36+J33+J31+J26+J15+J14+J12+J6+J13+#REF!+#REF!</f>
        <v>#REF!</v>
      </c>
      <c r="K38" s="686">
        <f>K36+K33+K31+K26+K15+K14+K12+K6+K13+K37</f>
        <v>252460</v>
      </c>
      <c r="L38" s="686" t="e">
        <f>L36+L33+L31+L26+L15+L14+L12+L6+L13+#REF!+#REF!</f>
        <v>#REF!</v>
      </c>
      <c r="M38" s="686" t="e">
        <f>M36+M33+M31+M26+M15+M14+M12+M6+M13+#REF!+#REF!</f>
        <v>#REF!</v>
      </c>
      <c r="N38" s="686" t="e">
        <f>N36+N33+N31+N26+N15+N14+N12+N6+N13+#REF!+#REF!</f>
        <v>#REF!</v>
      </c>
      <c r="O38" s="686" t="e">
        <f>O36+O33+O31+O26+O15+O14+O12+O6+O13+#REF!+#REF!</f>
        <v>#REF!</v>
      </c>
      <c r="P38" s="686" t="e">
        <f>P36+P33+P31+P26+P15+P14+P12+P6+P13+#REF!+#REF!</f>
        <v>#REF!</v>
      </c>
      <c r="Q38" s="686" t="e">
        <f>Q36+Q33+Q31+Q26+Q15+Q14+Q12+Q6+Q13+#REF!+#REF!</f>
        <v>#REF!</v>
      </c>
      <c r="R38" s="686" t="e">
        <f>R36+R33+R31+R26+R15+R14+R12+R6+R13+#REF!+#REF!</f>
        <v>#VALUE!</v>
      </c>
      <c r="S38" s="686" t="e">
        <f>S36+S33+S31+S26+S15+S14+S12+S6+S13+#REF!+#REF!</f>
        <v>#REF!</v>
      </c>
      <c r="T38" s="686" t="e">
        <f>T36+T33+T31+T26+T15+T14+T12+T6+T13+#REF!+#REF!</f>
        <v>#REF!</v>
      </c>
      <c r="U38" s="687" t="e">
        <f>U36+U33+U31+U26+U15+U14+U12+U6+U13+#REF!+#REF!</f>
        <v>#REF!</v>
      </c>
      <c r="V38" s="686">
        <f>V36+V33+V31+V26+V15+V14+V12+V6+V13+V37</f>
        <v>251747.05</v>
      </c>
      <c r="W38" s="688">
        <f t="shared" si="9"/>
        <v>0.9971759882753704</v>
      </c>
      <c r="X38" s="689">
        <f t="shared" si="3"/>
        <v>712.9500000000116</v>
      </c>
      <c r="Y38" s="686" t="s">
        <v>1027</v>
      </c>
      <c r="Z38" s="100"/>
    </row>
    <row r="39" spans="1:26" ht="19.5" thickBot="1">
      <c r="A39" s="445"/>
      <c r="B39" s="446"/>
      <c r="C39" s="447"/>
      <c r="D39" s="447"/>
      <c r="E39" s="447"/>
      <c r="F39" s="448" t="e">
        <f>F38-F48</f>
        <v>#REF!</v>
      </c>
      <c r="G39" s="448"/>
      <c r="H39" s="448"/>
      <c r="I39" s="448"/>
      <c r="J39" s="448"/>
      <c r="K39" s="448"/>
      <c r="L39" s="448"/>
      <c r="M39" s="449"/>
      <c r="N39" s="88"/>
      <c r="O39" s="448"/>
      <c r="P39" s="450"/>
      <c r="Q39" s="88"/>
      <c r="S39" s="448"/>
      <c r="T39" s="450"/>
      <c r="U39" s="88"/>
      <c r="V39" s="448"/>
      <c r="W39" s="450"/>
      <c r="X39" s="88"/>
      <c r="Z39" s="88"/>
    </row>
    <row r="40" spans="1:25" ht="13.5" thickBot="1">
      <c r="A40" s="882" t="s">
        <v>1083</v>
      </c>
      <c r="B40" s="873" t="s">
        <v>1101</v>
      </c>
      <c r="C40" s="884" t="str">
        <f>C4</f>
        <v>Korekta 1                                 z dnia 7.11.2005 r.</v>
      </c>
      <c r="D40" s="867" t="str">
        <f>D4</f>
        <v>Korekta 2                       z dnia 20.12.2005 r.</v>
      </c>
      <c r="E40" s="867" t="str">
        <f>E4</f>
        <v>Plan na 2006 rok po zmianach</v>
      </c>
      <c r="F40" s="451" t="str">
        <f>F4</f>
        <v>Zmiana nr 1</v>
      </c>
      <c r="G40" s="452"/>
      <c r="H40" s="886" t="str">
        <f>H4</f>
        <v>Plan po zmianie nr 1</v>
      </c>
      <c r="I40" s="451" t="str">
        <f>I4</f>
        <v>Zmiana nr 2</v>
      </c>
      <c r="J40" s="452"/>
      <c r="K40" s="886" t="str">
        <f>K4</f>
        <v>Plan po zmianach</v>
      </c>
      <c r="L40" s="867" t="str">
        <f>L4</f>
        <v>Wykonanie planu na dzień 31.03.2006 r.</v>
      </c>
      <c r="M40" s="887" t="str">
        <f>M4</f>
        <v>% wykonania planu</v>
      </c>
      <c r="N40" s="873" t="s">
        <v>315</v>
      </c>
      <c r="O40" s="867" t="str">
        <f>O4</f>
        <v>Wykonanie planu na dzień 30.06.2006 r.</v>
      </c>
      <c r="P40" s="887" t="str">
        <f>P4</f>
        <v>% wykonania planu</v>
      </c>
      <c r="Q40" s="889" t="s">
        <v>317</v>
      </c>
      <c r="R40" s="891" t="str">
        <f>R4</f>
        <v>Opis - wykonanie VI 2006</v>
      </c>
      <c r="S40" s="867" t="str">
        <f>S4</f>
        <v>Wykonanie planu na dzień 30.09.2006 r.</v>
      </c>
      <c r="T40" s="887" t="str">
        <f>T4</f>
        <v>% wykonania planu</v>
      </c>
      <c r="U40" s="873" t="s">
        <v>320</v>
      </c>
      <c r="V40" s="867" t="str">
        <f>V4</f>
        <v>Wykonanie planu na dzień 31.12.2007 r.</v>
      </c>
      <c r="W40" s="887" t="str">
        <f>W4</f>
        <v>% </v>
      </c>
      <c r="X40" s="873" t="s">
        <v>320</v>
      </c>
      <c r="Y40" s="891" t="str">
        <f>Y4</f>
        <v>Opis </v>
      </c>
    </row>
    <row r="41" spans="1:25" s="454" customFormat="1" ht="24.75" thickBot="1">
      <c r="A41" s="883"/>
      <c r="B41" s="874"/>
      <c r="C41" s="885"/>
      <c r="D41" s="868"/>
      <c r="E41" s="868"/>
      <c r="F41" s="398" t="str">
        <f>F5</f>
        <v>na dzień 30.09.2006</v>
      </c>
      <c r="G41" s="453"/>
      <c r="H41" s="886"/>
      <c r="I41" s="398" t="str">
        <f>I5</f>
        <v>na dzień 31.12.2006</v>
      </c>
      <c r="J41" s="453"/>
      <c r="K41" s="886"/>
      <c r="L41" s="868"/>
      <c r="M41" s="888"/>
      <c r="N41" s="874"/>
      <c r="O41" s="868"/>
      <c r="P41" s="888"/>
      <c r="Q41" s="890"/>
      <c r="R41" s="892"/>
      <c r="S41" s="868"/>
      <c r="T41" s="888"/>
      <c r="U41" s="893"/>
      <c r="V41" s="868"/>
      <c r="W41" s="897"/>
      <c r="X41" s="893"/>
      <c r="Y41" s="892"/>
    </row>
    <row r="42" spans="1:25" ht="12.75">
      <c r="A42" s="455" t="s">
        <v>1085</v>
      </c>
      <c r="B42" s="456">
        <f>B38-B43</f>
        <v>207000</v>
      </c>
      <c r="C42" s="457">
        <v>-11000</v>
      </c>
      <c r="D42" s="456">
        <v>-21500</v>
      </c>
      <c r="E42" s="456">
        <f>SUM(B42:D42)</f>
        <v>174500</v>
      </c>
      <c r="F42" s="458"/>
      <c r="G42" s="458"/>
      <c r="H42" s="458">
        <f>E42+F42+G42</f>
        <v>174500</v>
      </c>
      <c r="I42" s="458">
        <v>6000</v>
      </c>
      <c r="J42" s="458"/>
      <c r="K42" s="458">
        <v>230500</v>
      </c>
      <c r="L42" s="458"/>
      <c r="M42" s="459">
        <f>L42/E42</f>
        <v>0</v>
      </c>
      <c r="N42" s="458">
        <f>E42-L42</f>
        <v>174500</v>
      </c>
      <c r="O42" s="458">
        <f>'[1]KS'!AV88</f>
        <v>99700</v>
      </c>
      <c r="P42" s="460">
        <f aca="true" t="shared" si="19" ref="P42:P48">O42/H42</f>
        <v>0.5713467048710602</v>
      </c>
      <c r="Q42" s="461">
        <f aca="true" t="shared" si="20" ref="Q42:Q48">N42-O42</f>
        <v>74800</v>
      </c>
      <c r="R42" s="462" t="s">
        <v>1027</v>
      </c>
      <c r="S42" s="458">
        <f>'[1]KS'!AV145</f>
        <v>153700</v>
      </c>
      <c r="T42" s="463">
        <f aca="true" t="shared" si="21" ref="T42:T48">S42/H42</f>
        <v>0.8808022922636103</v>
      </c>
      <c r="U42" s="456">
        <f>H42-S42</f>
        <v>20800</v>
      </c>
      <c r="V42" s="461">
        <v>230500</v>
      </c>
      <c r="W42" s="680">
        <f aca="true" t="shared" si="22" ref="W42:W48">V42/K42</f>
        <v>1</v>
      </c>
      <c r="X42" s="464">
        <f>K42-V42</f>
        <v>0</v>
      </c>
      <c r="Y42" s="692" t="s">
        <v>1027</v>
      </c>
    </row>
    <row r="43" spans="1:25" ht="12.75">
      <c r="A43" s="465" t="s">
        <v>1086</v>
      </c>
      <c r="B43" s="466">
        <f aca="true" t="shared" si="23" ref="B43:K43">SUM(B44:B47)</f>
        <v>17200</v>
      </c>
      <c r="C43" s="467">
        <f t="shared" si="23"/>
        <v>4000</v>
      </c>
      <c r="D43" s="466">
        <f t="shared" si="23"/>
        <v>0</v>
      </c>
      <c r="E43" s="466">
        <f t="shared" si="23"/>
        <v>21200</v>
      </c>
      <c r="F43" s="466">
        <f t="shared" si="23"/>
        <v>350</v>
      </c>
      <c r="G43" s="466">
        <f t="shared" si="23"/>
        <v>0</v>
      </c>
      <c r="H43" s="466">
        <f t="shared" si="23"/>
        <v>21550</v>
      </c>
      <c r="I43" s="466">
        <f t="shared" si="23"/>
        <v>0</v>
      </c>
      <c r="J43" s="466">
        <f t="shared" si="23"/>
        <v>0</v>
      </c>
      <c r="K43" s="466">
        <f t="shared" si="23"/>
        <v>24100</v>
      </c>
      <c r="L43" s="466">
        <f aca="true" t="shared" si="24" ref="L43:V43">SUM(L44:L47)</f>
        <v>0</v>
      </c>
      <c r="M43" s="466">
        <f t="shared" si="24"/>
        <v>0</v>
      </c>
      <c r="N43" s="466">
        <f t="shared" si="24"/>
        <v>21200</v>
      </c>
      <c r="O43" s="466">
        <f t="shared" si="24"/>
        <v>9165.55</v>
      </c>
      <c r="P43" s="466">
        <f t="shared" si="24"/>
        <v>0.8054303205197708</v>
      </c>
      <c r="Q43" s="466">
        <f t="shared" si="24"/>
        <v>12034.45</v>
      </c>
      <c r="R43" s="466">
        <f t="shared" si="24"/>
        <v>0</v>
      </c>
      <c r="S43" s="466">
        <f t="shared" si="24"/>
        <v>15967.47</v>
      </c>
      <c r="T43" s="466">
        <f t="shared" si="24"/>
        <v>1.528582440220388</v>
      </c>
      <c r="U43" s="466">
        <f t="shared" si="24"/>
        <v>5582.530000000001</v>
      </c>
      <c r="V43" s="466">
        <f t="shared" si="24"/>
        <v>23588.3</v>
      </c>
      <c r="W43" s="681">
        <f t="shared" si="22"/>
        <v>0.9787676348547718</v>
      </c>
      <c r="X43" s="468">
        <f>SUM(X44:X47)</f>
        <v>511.7</v>
      </c>
      <c r="Y43" s="466"/>
    </row>
    <row r="44" spans="1:25" ht="25.5">
      <c r="A44" s="469" t="s">
        <v>899</v>
      </c>
      <c r="B44" s="424">
        <v>1495</v>
      </c>
      <c r="C44" s="425"/>
      <c r="D44" s="470"/>
      <c r="E44" s="424">
        <f>SUM(B44:D44)</f>
        <v>1495</v>
      </c>
      <c r="F44" s="470"/>
      <c r="G44" s="470"/>
      <c r="H44" s="470">
        <f>E44+F44+G44</f>
        <v>1495</v>
      </c>
      <c r="I44" s="470">
        <v>600</v>
      </c>
      <c r="J44" s="470"/>
      <c r="K44" s="470">
        <v>7420</v>
      </c>
      <c r="L44" s="470"/>
      <c r="M44" s="471">
        <f>L44/E44</f>
        <v>0</v>
      </c>
      <c r="N44" s="424">
        <f>E44-L44</f>
        <v>1495</v>
      </c>
      <c r="O44" s="470">
        <f>'[1]KS'!AN88</f>
        <v>385</v>
      </c>
      <c r="P44" s="472">
        <f t="shared" si="19"/>
        <v>0.25752508361204013</v>
      </c>
      <c r="Q44" s="441">
        <f t="shared" si="20"/>
        <v>1110</v>
      </c>
      <c r="R44" s="422" t="s">
        <v>900</v>
      </c>
      <c r="S44" s="470">
        <f>'[1]KS'!AN133</f>
        <v>385</v>
      </c>
      <c r="T44" s="473">
        <f t="shared" si="21"/>
        <v>0.25752508361204013</v>
      </c>
      <c r="U44" s="424">
        <f>H44-S44</f>
        <v>1110</v>
      </c>
      <c r="V44" s="474">
        <v>7413</v>
      </c>
      <c r="W44" s="675">
        <f t="shared" si="22"/>
        <v>0.9990566037735849</v>
      </c>
      <c r="X44" s="419">
        <f>K44-V44</f>
        <v>7</v>
      </c>
      <c r="Y44" s="422" t="s">
        <v>53</v>
      </c>
    </row>
    <row r="45" spans="1:25" ht="25.5">
      <c r="A45" s="469" t="s">
        <v>834</v>
      </c>
      <c r="B45" s="424"/>
      <c r="C45" s="425"/>
      <c r="D45" s="470"/>
      <c r="E45" s="424"/>
      <c r="F45" s="470"/>
      <c r="G45" s="470"/>
      <c r="H45" s="470"/>
      <c r="I45" s="470"/>
      <c r="J45" s="470"/>
      <c r="K45" s="470">
        <v>500</v>
      </c>
      <c r="L45" s="470"/>
      <c r="M45" s="471"/>
      <c r="N45" s="424"/>
      <c r="O45" s="470"/>
      <c r="P45" s="472"/>
      <c r="Q45" s="441"/>
      <c r="R45" s="422"/>
      <c r="S45" s="470"/>
      <c r="T45" s="473"/>
      <c r="U45" s="424"/>
      <c r="V45" s="474">
        <v>500</v>
      </c>
      <c r="W45" s="675">
        <f t="shared" si="22"/>
        <v>1</v>
      </c>
      <c r="X45" s="419"/>
      <c r="Y45" s="422"/>
    </row>
    <row r="46" spans="1:25" ht="12.75">
      <c r="A46" s="469" t="s">
        <v>901</v>
      </c>
      <c r="B46" s="424">
        <v>15700</v>
      </c>
      <c r="C46" s="425">
        <v>4000</v>
      </c>
      <c r="D46" s="470"/>
      <c r="E46" s="424">
        <f>SUM(B46:D46)</f>
        <v>19700</v>
      </c>
      <c r="F46" s="470">
        <v>350</v>
      </c>
      <c r="G46" s="470"/>
      <c r="H46" s="470">
        <f>E46+F46+G46</f>
        <v>20050</v>
      </c>
      <c r="I46" s="470">
        <v>-600</v>
      </c>
      <c r="J46" s="470"/>
      <c r="K46" s="470">
        <v>16100</v>
      </c>
      <c r="L46" s="470"/>
      <c r="M46" s="471">
        <f>L46/E46</f>
        <v>0</v>
      </c>
      <c r="N46" s="424">
        <f>E46-L46</f>
        <v>19700</v>
      </c>
      <c r="O46" s="470">
        <f>'[1]KS'!AP88</f>
        <v>8780</v>
      </c>
      <c r="P46" s="472">
        <f t="shared" si="19"/>
        <v>0.4379052369077307</v>
      </c>
      <c r="Q46" s="441">
        <f t="shared" si="20"/>
        <v>10920</v>
      </c>
      <c r="R46" s="422" t="s">
        <v>41</v>
      </c>
      <c r="S46" s="470">
        <f>'[1]KS'!AP133</f>
        <v>15580</v>
      </c>
      <c r="T46" s="473">
        <f t="shared" si="21"/>
        <v>0.7770573566084789</v>
      </c>
      <c r="U46" s="424">
        <f>H46-S46</f>
        <v>4470</v>
      </c>
      <c r="V46" s="474">
        <v>15600</v>
      </c>
      <c r="W46" s="675">
        <f t="shared" si="22"/>
        <v>0.968944099378882</v>
      </c>
      <c r="X46" s="419">
        <f>K46-V46</f>
        <v>500</v>
      </c>
      <c r="Y46" s="422" t="s">
        <v>41</v>
      </c>
    </row>
    <row r="47" spans="1:25" ht="39" thickBot="1">
      <c r="A47" s="469" t="s">
        <v>52</v>
      </c>
      <c r="B47" s="424">
        <v>5</v>
      </c>
      <c r="C47" s="425"/>
      <c r="D47" s="470"/>
      <c r="E47" s="424">
        <f>SUM(B47:D47)</f>
        <v>5</v>
      </c>
      <c r="F47" s="470"/>
      <c r="G47" s="470"/>
      <c r="H47" s="470">
        <f>E47+F47+G47</f>
        <v>5</v>
      </c>
      <c r="I47" s="470"/>
      <c r="J47" s="470"/>
      <c r="K47" s="470">
        <v>80</v>
      </c>
      <c r="L47" s="470"/>
      <c r="M47" s="471">
        <f>L47/E47</f>
        <v>0</v>
      </c>
      <c r="N47" s="424">
        <f>E47-L47</f>
        <v>5</v>
      </c>
      <c r="O47" s="470">
        <f>'[1]KS'!AR87</f>
        <v>0.55</v>
      </c>
      <c r="P47" s="472">
        <f>O47/H47</f>
        <v>0.11000000000000001</v>
      </c>
      <c r="Q47" s="441">
        <f>N47-O47</f>
        <v>4.45</v>
      </c>
      <c r="R47" s="422" t="s">
        <v>42</v>
      </c>
      <c r="S47" s="470">
        <f>'[1]KS'!AR133-'[1]750-darow.'!J34</f>
        <v>2.469999999999345</v>
      </c>
      <c r="T47" s="472">
        <f t="shared" si="21"/>
        <v>0.49399999999986904</v>
      </c>
      <c r="U47" s="424">
        <f>H47-S47</f>
        <v>2.530000000000655</v>
      </c>
      <c r="V47" s="474">
        <v>75.3</v>
      </c>
      <c r="W47" s="675">
        <f t="shared" si="22"/>
        <v>0.9412499999999999</v>
      </c>
      <c r="X47" s="419">
        <f>K47-V47</f>
        <v>4.700000000000003</v>
      </c>
      <c r="Y47" s="422" t="s">
        <v>42</v>
      </c>
    </row>
    <row r="48" spans="1:27" s="102" customFormat="1" ht="16.5" thickBot="1">
      <c r="A48" s="475" t="s">
        <v>1082</v>
      </c>
      <c r="B48" s="476">
        <f aca="true" t="shared" si="25" ref="B48:L48">B42+B43</f>
        <v>224200</v>
      </c>
      <c r="C48" s="477">
        <f t="shared" si="25"/>
        <v>-7000</v>
      </c>
      <c r="D48" s="477">
        <f t="shared" si="25"/>
        <v>-21500</v>
      </c>
      <c r="E48" s="478">
        <f>B48+C48+D48</f>
        <v>195700</v>
      </c>
      <c r="F48" s="478" t="e">
        <f>F42+F43+#REF!</f>
        <v>#REF!</v>
      </c>
      <c r="G48" s="478">
        <f t="shared" si="25"/>
        <v>0</v>
      </c>
      <c r="H48" s="478">
        <f t="shared" si="25"/>
        <v>196050</v>
      </c>
      <c r="I48" s="478" t="e">
        <f>I42+I43+#REF!</f>
        <v>#REF!</v>
      </c>
      <c r="J48" s="478">
        <f>J42+J43</f>
        <v>0</v>
      </c>
      <c r="K48" s="490">
        <f>K43+K42</f>
        <v>254600</v>
      </c>
      <c r="L48" s="490">
        <f t="shared" si="25"/>
        <v>0</v>
      </c>
      <c r="M48" s="491">
        <f>L48/E48</f>
        <v>0</v>
      </c>
      <c r="N48" s="492">
        <f>E48-L48</f>
        <v>195700</v>
      </c>
      <c r="O48" s="490">
        <f>O42+O43</f>
        <v>108865.55</v>
      </c>
      <c r="P48" s="491">
        <f t="shared" si="19"/>
        <v>0.5552948227492986</v>
      </c>
      <c r="Q48" s="493">
        <f t="shared" si="20"/>
        <v>86834.45</v>
      </c>
      <c r="R48" s="479" t="s">
        <v>1027</v>
      </c>
      <c r="S48" s="490" t="e">
        <f>S42+S43+#REF!</f>
        <v>#REF!</v>
      </c>
      <c r="T48" s="494" t="e">
        <f t="shared" si="21"/>
        <v>#REF!</v>
      </c>
      <c r="U48" s="495" t="e">
        <f>H48-S48</f>
        <v>#REF!</v>
      </c>
      <c r="V48" s="490">
        <f>V43+V42</f>
        <v>254088.3</v>
      </c>
      <c r="W48" s="682">
        <f t="shared" si="22"/>
        <v>0.9979901806755694</v>
      </c>
      <c r="X48" s="480">
        <f>K48-V48</f>
        <v>511.70000000001164</v>
      </c>
      <c r="Y48" s="695" t="s">
        <v>1027</v>
      </c>
      <c r="Z48" s="100"/>
      <c r="AA48" s="100"/>
    </row>
    <row r="50" spans="1:26" ht="37.5" customHeight="1">
      <c r="A50" s="202"/>
      <c r="B50" s="481"/>
      <c r="C50" s="481"/>
      <c r="D50" s="481"/>
      <c r="E50" s="482"/>
      <c r="K50" s="481"/>
      <c r="Z50" s="88"/>
    </row>
    <row r="51" spans="1:11" ht="21.75" customHeight="1">
      <c r="A51" s="202"/>
      <c r="B51" s="481"/>
      <c r="C51" s="481"/>
      <c r="D51" s="481"/>
      <c r="E51" s="482"/>
      <c r="K51" s="481"/>
    </row>
    <row r="52" spans="1:5" ht="12.75">
      <c r="A52" s="483"/>
      <c r="B52" s="481"/>
      <c r="C52" s="481"/>
      <c r="D52" s="481"/>
      <c r="E52" s="482"/>
    </row>
    <row r="53" spans="1:11" ht="21" customHeight="1">
      <c r="A53" s="202"/>
      <c r="E53" s="484"/>
      <c r="K53" s="481"/>
    </row>
    <row r="54" spans="1:5" ht="12.75">
      <c r="A54" s="483"/>
      <c r="E54" s="484"/>
    </row>
    <row r="55" spans="1:5" ht="12.75">
      <c r="A55" s="483"/>
      <c r="E55" s="484"/>
    </row>
    <row r="56" spans="1:23" ht="12.75">
      <c r="A56" s="54"/>
      <c r="E56" s="482"/>
      <c r="F56" s="24"/>
      <c r="H56" s="283"/>
      <c r="I56" s="24"/>
      <c r="L56" s="24"/>
      <c r="M56" s="24"/>
      <c r="O56" s="24"/>
      <c r="P56" s="24"/>
      <c r="S56" s="24"/>
      <c r="T56" s="24"/>
      <c r="V56" s="24"/>
      <c r="W56" s="24"/>
    </row>
    <row r="57" spans="1:23" ht="12.75">
      <c r="A57" s="485"/>
      <c r="E57" s="486"/>
      <c r="F57" s="24"/>
      <c r="H57" s="283"/>
      <c r="I57" s="24"/>
      <c r="K57" s="481"/>
      <c r="L57" s="24"/>
      <c r="M57" s="24"/>
      <c r="O57" s="24"/>
      <c r="P57" s="24"/>
      <c r="S57" s="24"/>
      <c r="T57" s="24"/>
      <c r="V57" s="24"/>
      <c r="W57" s="24"/>
    </row>
    <row r="58" spans="1:23" ht="12.75">
      <c r="A58" s="54"/>
      <c r="E58" s="482"/>
      <c r="F58" s="24"/>
      <c r="H58" s="283"/>
      <c r="I58" s="24"/>
      <c r="L58" s="24"/>
      <c r="M58" s="24"/>
      <c r="O58" s="24"/>
      <c r="P58" s="24"/>
      <c r="S58" s="24"/>
      <c r="T58" s="24"/>
      <c r="V58" s="24"/>
      <c r="W58" s="24"/>
    </row>
    <row r="59" spans="1:23" ht="8.25" customHeight="1">
      <c r="A59" s="88"/>
      <c r="E59" s="283"/>
      <c r="F59" s="24"/>
      <c r="H59" s="283"/>
      <c r="I59" s="24"/>
      <c r="K59" s="283"/>
      <c r="L59" s="24"/>
      <c r="M59" s="24"/>
      <c r="O59" s="24"/>
      <c r="P59" s="24"/>
      <c r="S59" s="24"/>
      <c r="T59" s="24"/>
      <c r="V59" s="24"/>
      <c r="W59" s="24"/>
    </row>
    <row r="60" spans="5:23" ht="18" customHeight="1">
      <c r="E60" s="283"/>
      <c r="F60" s="24"/>
      <c r="H60" s="283"/>
      <c r="I60" s="24"/>
      <c r="K60" s="283"/>
      <c r="L60" s="24"/>
      <c r="M60" s="24"/>
      <c r="O60" s="24"/>
      <c r="P60" s="24"/>
      <c r="S60" s="24"/>
      <c r="T60" s="24"/>
      <c r="V60" s="24"/>
      <c r="W60" s="24"/>
    </row>
    <row r="61" spans="1:23" ht="18" customHeight="1">
      <c r="A61" s="88"/>
      <c r="E61" s="283"/>
      <c r="F61" s="24"/>
      <c r="H61" s="283"/>
      <c r="I61" s="24"/>
      <c r="K61" s="283"/>
      <c r="L61" s="24"/>
      <c r="M61" s="24"/>
      <c r="O61" s="24"/>
      <c r="P61" s="24"/>
      <c r="S61" s="24"/>
      <c r="T61" s="24"/>
      <c r="V61" s="24"/>
      <c r="W61" s="24"/>
    </row>
    <row r="62" spans="1:23" ht="18" customHeight="1">
      <c r="A62" s="88"/>
      <c r="E62" s="283"/>
      <c r="F62" s="24"/>
      <c r="H62" s="283"/>
      <c r="I62" s="24"/>
      <c r="K62" s="283"/>
      <c r="L62" s="24"/>
      <c r="M62" s="24"/>
      <c r="O62" s="24"/>
      <c r="P62" s="24"/>
      <c r="S62" s="24"/>
      <c r="T62" s="24"/>
      <c r="V62" s="24"/>
      <c r="W62" s="24"/>
    </row>
    <row r="63" spans="1:23" ht="18" customHeight="1">
      <c r="A63" s="88"/>
      <c r="E63" s="283"/>
      <c r="F63" s="24"/>
      <c r="H63" s="283"/>
      <c r="I63" s="24"/>
      <c r="K63" s="283"/>
      <c r="L63" s="24"/>
      <c r="M63" s="24"/>
      <c r="O63" s="24"/>
      <c r="P63" s="24"/>
      <c r="S63" s="24"/>
      <c r="T63" s="24"/>
      <c r="V63" s="24"/>
      <c r="W63" s="24"/>
    </row>
    <row r="64" spans="1:23" ht="18" customHeight="1">
      <c r="A64" s="487"/>
      <c r="B64" s="487"/>
      <c r="C64" s="487"/>
      <c r="D64" s="487"/>
      <c r="E64" s="283"/>
      <c r="F64" s="24"/>
      <c r="G64" s="487"/>
      <c r="H64" s="283"/>
      <c r="I64" s="24"/>
      <c r="J64" s="487"/>
      <c r="K64" s="283"/>
      <c r="L64" s="24"/>
      <c r="M64" s="24"/>
      <c r="O64" s="24"/>
      <c r="P64" s="24"/>
      <c r="S64" s="24"/>
      <c r="T64" s="24"/>
      <c r="V64" s="24"/>
      <c r="W64" s="24"/>
    </row>
    <row r="65" spans="1:23" ht="18" customHeight="1">
      <c r="A65" s="481"/>
      <c r="B65" s="481"/>
      <c r="C65" s="481"/>
      <c r="D65" s="481"/>
      <c r="E65" s="283"/>
      <c r="F65" s="24"/>
      <c r="G65" s="481"/>
      <c r="H65" s="283"/>
      <c r="I65" s="24"/>
      <c r="J65" s="481"/>
      <c r="K65" s="283"/>
      <c r="L65" s="24"/>
      <c r="M65" s="24"/>
      <c r="O65" s="24"/>
      <c r="P65" s="24"/>
      <c r="S65" s="24"/>
      <c r="T65" s="24"/>
      <c r="V65" s="24"/>
      <c r="W65" s="24"/>
    </row>
    <row r="66" spans="1:23" ht="23.25" customHeight="1">
      <c r="A66" s="88"/>
      <c r="E66" s="283"/>
      <c r="F66" s="24"/>
      <c r="H66" s="283"/>
      <c r="I66" s="24"/>
      <c r="K66" s="283"/>
      <c r="L66" s="24"/>
      <c r="M66" s="24"/>
      <c r="O66" s="24"/>
      <c r="P66" s="24"/>
      <c r="S66" s="24"/>
      <c r="T66" s="24"/>
      <c r="V66" s="24"/>
      <c r="W66" s="24"/>
    </row>
    <row r="67" spans="1:23" ht="21.75" customHeight="1">
      <c r="A67" s="88"/>
      <c r="E67" s="283"/>
      <c r="F67" s="24"/>
      <c r="H67" s="283"/>
      <c r="I67" s="24"/>
      <c r="K67" s="283"/>
      <c r="L67" s="24"/>
      <c r="M67" s="24"/>
      <c r="O67" s="24"/>
      <c r="P67" s="24"/>
      <c r="S67" s="24"/>
      <c r="T67" s="24"/>
      <c r="V67" s="24"/>
      <c r="W67" s="24"/>
    </row>
    <row r="68" spans="1:23" ht="48.75" customHeight="1">
      <c r="A68" s="88"/>
      <c r="E68" s="283"/>
      <c r="F68" s="24"/>
      <c r="H68" s="283"/>
      <c r="I68" s="24"/>
      <c r="K68" s="283"/>
      <c r="L68" s="24"/>
      <c r="M68" s="24"/>
      <c r="O68" s="24"/>
      <c r="P68" s="24"/>
      <c r="S68" s="24"/>
      <c r="T68" s="24"/>
      <c r="V68" s="24"/>
      <c r="W68" s="24"/>
    </row>
    <row r="69" spans="1:23" ht="34.5" customHeight="1">
      <c r="A69" s="88"/>
      <c r="E69" s="283"/>
      <c r="F69" s="24"/>
      <c r="H69" s="283"/>
      <c r="I69" s="24"/>
      <c r="K69" s="283"/>
      <c r="L69" s="24"/>
      <c r="M69" s="24"/>
      <c r="O69" s="24"/>
      <c r="P69" s="24"/>
      <c r="S69" s="24"/>
      <c r="T69" s="24"/>
      <c r="V69" s="24"/>
      <c r="W69" s="24"/>
    </row>
    <row r="70" spans="1:23" ht="18" customHeight="1">
      <c r="A70" s="88"/>
      <c r="E70" s="283"/>
      <c r="F70" s="24"/>
      <c r="H70" s="283"/>
      <c r="I70" s="24"/>
      <c r="K70" s="283"/>
      <c r="L70" s="24"/>
      <c r="M70" s="24"/>
      <c r="O70" s="24"/>
      <c r="P70" s="24"/>
      <c r="S70" s="24"/>
      <c r="T70" s="24"/>
      <c r="V70" s="24"/>
      <c r="W70" s="24"/>
    </row>
    <row r="71" spans="1:23" ht="18" customHeight="1">
      <c r="A71" s="88"/>
      <c r="E71" s="283"/>
      <c r="F71" s="24"/>
      <c r="H71" s="283"/>
      <c r="I71" s="24"/>
      <c r="K71" s="283"/>
      <c r="L71" s="24"/>
      <c r="M71" s="24"/>
      <c r="O71" s="24"/>
      <c r="P71" s="24"/>
      <c r="S71" s="24"/>
      <c r="T71" s="24"/>
      <c r="V71" s="24"/>
      <c r="W71" s="24"/>
    </row>
    <row r="72" spans="1:23" ht="18" customHeight="1">
      <c r="A72" s="88"/>
      <c r="E72" s="283"/>
      <c r="F72" s="24"/>
      <c r="H72" s="283"/>
      <c r="I72" s="24"/>
      <c r="K72" s="283"/>
      <c r="L72" s="24"/>
      <c r="M72" s="24"/>
      <c r="O72" s="24"/>
      <c r="P72" s="24"/>
      <c r="S72" s="24"/>
      <c r="T72" s="24"/>
      <c r="V72" s="24"/>
      <c r="W72" s="24"/>
    </row>
    <row r="73" spans="1:23" ht="18" customHeight="1">
      <c r="A73" s="88"/>
      <c r="E73" s="283"/>
      <c r="F73" s="24"/>
      <c r="H73" s="283"/>
      <c r="I73" s="24"/>
      <c r="K73" s="283"/>
      <c r="L73" s="24"/>
      <c r="M73" s="24"/>
      <c r="O73" s="24"/>
      <c r="P73" s="24"/>
      <c r="S73" s="24"/>
      <c r="T73" s="24"/>
      <c r="V73" s="24"/>
      <c r="W73" s="24"/>
    </row>
    <row r="74" spans="1:23" ht="18" customHeight="1">
      <c r="A74" s="88"/>
      <c r="E74" s="283"/>
      <c r="F74" s="24"/>
      <c r="H74" s="283"/>
      <c r="I74" s="24"/>
      <c r="K74" s="283"/>
      <c r="L74" s="24"/>
      <c r="M74" s="24"/>
      <c r="O74" s="24"/>
      <c r="P74" s="24"/>
      <c r="S74" s="24"/>
      <c r="T74" s="24"/>
      <c r="V74" s="24"/>
      <c r="W74" s="24"/>
    </row>
    <row r="75" spans="1:23" ht="18" customHeight="1">
      <c r="A75" s="88"/>
      <c r="E75" s="283"/>
      <c r="F75" s="24"/>
      <c r="H75" s="283"/>
      <c r="I75" s="24"/>
      <c r="K75" s="283"/>
      <c r="L75" s="24"/>
      <c r="M75" s="24"/>
      <c r="O75" s="24"/>
      <c r="P75" s="24"/>
      <c r="S75" s="24"/>
      <c r="T75" s="24"/>
      <c r="V75" s="24"/>
      <c r="W75" s="24"/>
    </row>
    <row r="76" spans="1:23" ht="18" customHeight="1">
      <c r="A76" s="88"/>
      <c r="E76" s="283"/>
      <c r="F76" s="24"/>
      <c r="H76" s="283"/>
      <c r="I76" s="24"/>
      <c r="K76" s="283"/>
      <c r="L76" s="24"/>
      <c r="M76" s="24"/>
      <c r="O76" s="24"/>
      <c r="P76" s="24"/>
      <c r="S76" s="24"/>
      <c r="T76" s="24"/>
      <c r="V76" s="24"/>
      <c r="W76" s="24"/>
    </row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</sheetData>
  <mergeCells count="42">
    <mergeCell ref="Y7:Y10"/>
    <mergeCell ref="Y27:Y30"/>
    <mergeCell ref="V40:V41"/>
    <mergeCell ref="W40:W41"/>
    <mergeCell ref="X40:X41"/>
    <mergeCell ref="Y40:Y41"/>
    <mergeCell ref="R40:R41"/>
    <mergeCell ref="S40:S41"/>
    <mergeCell ref="T40:T41"/>
    <mergeCell ref="U40:U41"/>
    <mergeCell ref="N40:N41"/>
    <mergeCell ref="O40:O41"/>
    <mergeCell ref="P40:P41"/>
    <mergeCell ref="Q40:Q41"/>
    <mergeCell ref="W4:W5"/>
    <mergeCell ref="A40:A41"/>
    <mergeCell ref="B40:B41"/>
    <mergeCell ref="C40:C41"/>
    <mergeCell ref="D40:D41"/>
    <mergeCell ref="E40:E41"/>
    <mergeCell ref="H40:H41"/>
    <mergeCell ref="K40:K41"/>
    <mergeCell ref="L40:L41"/>
    <mergeCell ref="M40:M41"/>
    <mergeCell ref="A4:A5"/>
    <mergeCell ref="A2:Y2"/>
    <mergeCell ref="O4:O5"/>
    <mergeCell ref="Q4:Q5"/>
    <mergeCell ref="R4:R5"/>
    <mergeCell ref="S4:S5"/>
    <mergeCell ref="U4:U5"/>
    <mergeCell ref="V4:V5"/>
    <mergeCell ref="X4:X5"/>
    <mergeCell ref="Y4:Y5"/>
    <mergeCell ref="D4:D5"/>
    <mergeCell ref="C4:C5"/>
    <mergeCell ref="B4:B5"/>
    <mergeCell ref="K4:K5"/>
    <mergeCell ref="N4:N5"/>
    <mergeCell ref="L4:L5"/>
    <mergeCell ref="H4:H5"/>
    <mergeCell ref="E4:E5"/>
  </mergeCells>
  <printOptions horizontalCentered="1"/>
  <pageMargins left="0.15748031496062992" right="0.15748031496062992" top="0.15748031496062992" bottom="0.15748031496062992" header="0.15748031496062992" footer="0.17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F4042"/>
  <sheetViews>
    <sheetView zoomScale="150" zoomScaleNormal="150" workbookViewId="0" topLeftCell="A69">
      <selection activeCell="AE27" sqref="AE27"/>
    </sheetView>
  </sheetViews>
  <sheetFormatPr defaultColWidth="9.140625" defaultRowHeight="53.25" customHeight="1"/>
  <cols>
    <col min="1" max="1" width="4.140625" style="1" customWidth="1"/>
    <col min="2" max="2" width="6.57421875" style="1" customWidth="1"/>
    <col min="3" max="3" width="4.8515625" style="1" customWidth="1"/>
    <col min="4" max="4" width="20.140625" style="1" customWidth="1"/>
    <col min="5" max="5" width="16.140625" style="507" hidden="1" customWidth="1"/>
    <col min="6" max="6" width="13.421875" style="507" hidden="1" customWidth="1"/>
    <col min="7" max="7" width="12.28125" style="508" hidden="1" customWidth="1"/>
    <col min="8" max="8" width="12.421875" style="508" hidden="1" customWidth="1"/>
    <col min="9" max="10" width="13.00390625" style="508" hidden="1" customWidth="1"/>
    <col min="11" max="12" width="12.57421875" style="508" hidden="1" customWidth="1"/>
    <col min="13" max="13" width="13.421875" style="508" hidden="1" customWidth="1"/>
    <col min="14" max="14" width="3.421875" style="508" hidden="1" customWidth="1"/>
    <col min="15" max="15" width="15.140625" style="602" customWidth="1"/>
    <col min="16" max="16" width="13.7109375" style="507" hidden="1" customWidth="1"/>
    <col min="17" max="24" width="13.421875" style="507" hidden="1" customWidth="1"/>
    <col min="25" max="25" width="15.00390625" style="507" hidden="1" customWidth="1"/>
    <col min="26" max="26" width="13.421875" style="507" hidden="1" customWidth="1"/>
    <col min="27" max="27" width="12.7109375" style="507" hidden="1" customWidth="1"/>
    <col min="28" max="28" width="11.28125" style="507" hidden="1" customWidth="1"/>
    <col min="29" max="29" width="14.421875" style="1" customWidth="1"/>
    <col min="30" max="30" width="7.7109375" style="1" customWidth="1"/>
    <col min="31" max="31" width="33.8515625" style="1" customWidth="1"/>
    <col min="32" max="16384" width="9.140625" style="1" customWidth="1"/>
  </cols>
  <sheetData>
    <row r="1" spans="1:31" ht="11.25">
      <c r="A1" s="500" t="s">
        <v>70</v>
      </c>
      <c r="B1" s="501"/>
      <c r="C1" s="501"/>
      <c r="E1" s="502"/>
      <c r="F1" s="502"/>
      <c r="G1" s="503"/>
      <c r="H1" s="503"/>
      <c r="I1" s="503"/>
      <c r="J1" s="503"/>
      <c r="K1" s="503"/>
      <c r="L1" s="503"/>
      <c r="M1" s="503"/>
      <c r="N1" s="503"/>
      <c r="O1" s="504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5"/>
      <c r="AD1" s="505"/>
      <c r="AE1" s="505" t="s">
        <v>601</v>
      </c>
    </row>
    <row r="2" spans="1:15" ht="11.25">
      <c r="A2" s="506"/>
      <c r="B2" s="501"/>
      <c r="C2" s="501"/>
      <c r="O2" s="504"/>
    </row>
    <row r="3" spans="1:31" s="514" customFormat="1" ht="21" customHeight="1">
      <c r="A3" s="773" t="s">
        <v>71</v>
      </c>
      <c r="B3" s="773" t="s">
        <v>72</v>
      </c>
      <c r="C3" s="773" t="s">
        <v>73</v>
      </c>
      <c r="D3" s="773" t="s">
        <v>74</v>
      </c>
      <c r="E3" s="773" t="s">
        <v>75</v>
      </c>
      <c r="F3" s="510" t="s">
        <v>76</v>
      </c>
      <c r="G3" s="511"/>
      <c r="H3" s="511"/>
      <c r="I3" s="140"/>
      <c r="J3" s="511"/>
      <c r="K3" s="512"/>
      <c r="L3" s="512"/>
      <c r="M3" s="512"/>
      <c r="N3" s="512" t="s">
        <v>91</v>
      </c>
      <c r="O3" s="760" t="s">
        <v>77</v>
      </c>
      <c r="P3" s="773" t="s">
        <v>78</v>
      </c>
      <c r="Q3" s="773" t="s">
        <v>79</v>
      </c>
      <c r="R3" s="773" t="s">
        <v>80</v>
      </c>
      <c r="S3" s="773" t="s">
        <v>81</v>
      </c>
      <c r="T3" s="773" t="s">
        <v>82</v>
      </c>
      <c r="U3" s="773" t="s">
        <v>83</v>
      </c>
      <c r="V3" s="773" t="s">
        <v>84</v>
      </c>
      <c r="W3" s="773" t="s">
        <v>85</v>
      </c>
      <c r="X3" s="773" t="s">
        <v>86</v>
      </c>
      <c r="Y3" s="773" t="s">
        <v>87</v>
      </c>
      <c r="Z3" s="773" t="s">
        <v>88</v>
      </c>
      <c r="AA3" s="773" t="s">
        <v>89</v>
      </c>
      <c r="AB3" s="773" t="s">
        <v>539</v>
      </c>
      <c r="AC3" s="761" t="s">
        <v>540</v>
      </c>
      <c r="AD3" s="773" t="s">
        <v>90</v>
      </c>
      <c r="AE3" s="761" t="s">
        <v>400</v>
      </c>
    </row>
    <row r="4" spans="1:31" s="515" customFormat="1" ht="4.5" customHeight="1">
      <c r="A4" s="773"/>
      <c r="B4" s="773"/>
      <c r="C4" s="773"/>
      <c r="D4" s="773"/>
      <c r="E4" s="773"/>
      <c r="F4" s="141" t="s">
        <v>1194</v>
      </c>
      <c r="G4" s="141" t="s">
        <v>1195</v>
      </c>
      <c r="H4" s="141" t="s">
        <v>1197</v>
      </c>
      <c r="I4" s="141" t="s">
        <v>541</v>
      </c>
      <c r="J4" s="141" t="s">
        <v>542</v>
      </c>
      <c r="K4" s="141" t="s">
        <v>466</v>
      </c>
      <c r="L4" s="141" t="s">
        <v>467</v>
      </c>
      <c r="M4" s="141" t="s">
        <v>468</v>
      </c>
      <c r="N4" s="141" t="s">
        <v>469</v>
      </c>
      <c r="O4" s="760"/>
      <c r="P4" s="773"/>
      <c r="Q4" s="773"/>
      <c r="R4" s="773"/>
      <c r="S4" s="773"/>
      <c r="T4" s="773"/>
      <c r="U4" s="773"/>
      <c r="V4" s="773"/>
      <c r="W4" s="773"/>
      <c r="X4" s="773"/>
      <c r="Y4" s="773"/>
      <c r="Z4" s="773"/>
      <c r="AA4" s="773"/>
      <c r="AB4" s="773"/>
      <c r="AC4" s="761"/>
      <c r="AD4" s="773"/>
      <c r="AE4" s="761"/>
    </row>
    <row r="5" spans="1:31" s="517" customFormat="1" ht="11.25">
      <c r="A5" s="143"/>
      <c r="B5" s="143"/>
      <c r="C5" s="143"/>
      <c r="D5" s="143"/>
      <c r="E5" s="143"/>
      <c r="F5" s="516"/>
      <c r="G5" s="516"/>
      <c r="H5" s="516"/>
      <c r="I5" s="516"/>
      <c r="J5" s="516"/>
      <c r="K5" s="516"/>
      <c r="L5" s="516"/>
      <c r="M5" s="516"/>
      <c r="N5" s="516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</row>
    <row r="6" spans="1:31" s="504" customFormat="1" ht="11.25">
      <c r="A6" s="518" t="s">
        <v>92</v>
      </c>
      <c r="B6" s="519"/>
      <c r="C6" s="519"/>
      <c r="D6" s="520" t="s">
        <v>93</v>
      </c>
      <c r="E6" s="521">
        <f>E7+E9</f>
        <v>17000</v>
      </c>
      <c r="F6" s="523">
        <f>F7+F9</f>
        <v>3500</v>
      </c>
      <c r="G6" s="523">
        <f>G7</f>
        <v>0</v>
      </c>
      <c r="H6" s="523">
        <f>H7+H9</f>
        <v>157657</v>
      </c>
      <c r="I6" s="523">
        <f>I7</f>
        <v>0</v>
      </c>
      <c r="J6" s="523">
        <f>J7</f>
        <v>0</v>
      </c>
      <c r="K6" s="523">
        <f>K7+K9</f>
        <v>320</v>
      </c>
      <c r="L6" s="522">
        <f>L7+L9</f>
        <v>-2500</v>
      </c>
      <c r="M6" s="523">
        <f>M7+M9</f>
        <v>101456</v>
      </c>
      <c r="N6" s="523">
        <f>N7+N9</f>
        <v>0</v>
      </c>
      <c r="O6" s="521">
        <f>O7+O9</f>
        <v>277433</v>
      </c>
      <c r="P6" s="521">
        <f>P7</f>
        <v>0</v>
      </c>
      <c r="Q6" s="521">
        <f aca="true" t="shared" si="0" ref="Q6:AC6">Q7+Q9</f>
        <v>0</v>
      </c>
      <c r="R6" s="521">
        <f>R7+R9</f>
        <v>0</v>
      </c>
      <c r="S6" s="521">
        <f t="shared" si="0"/>
        <v>0</v>
      </c>
      <c r="T6" s="521">
        <f>T7+T9</f>
        <v>157656.75</v>
      </c>
      <c r="U6" s="521">
        <f>U7+U9</f>
        <v>0</v>
      </c>
      <c r="V6" s="521">
        <f t="shared" si="0"/>
        <v>4500</v>
      </c>
      <c r="W6" s="521">
        <f t="shared" si="0"/>
        <v>3818.8</v>
      </c>
      <c r="X6" s="521">
        <f t="shared" si="0"/>
        <v>0</v>
      </c>
      <c r="Y6" s="521">
        <f t="shared" si="0"/>
        <v>109957.28</v>
      </c>
      <c r="Z6" s="521">
        <f t="shared" si="0"/>
        <v>1559.96</v>
      </c>
      <c r="AA6" s="521">
        <f t="shared" si="0"/>
        <v>0</v>
      </c>
      <c r="AB6" s="521">
        <f>AB7+AB9</f>
        <v>0</v>
      </c>
      <c r="AC6" s="521">
        <f t="shared" si="0"/>
        <v>277492.79</v>
      </c>
      <c r="AD6" s="3">
        <f aca="true" t="shared" si="1" ref="AD6:AD12">AC6*100/O6</f>
        <v>100.02155114928648</v>
      </c>
      <c r="AE6" s="521"/>
    </row>
    <row r="7" spans="1:31" s="504" customFormat="1" ht="31.5" customHeight="1">
      <c r="A7" s="509"/>
      <c r="B7" s="524" t="s">
        <v>94</v>
      </c>
      <c r="C7" s="513"/>
      <c r="D7" s="525" t="s">
        <v>95</v>
      </c>
      <c r="E7" s="526">
        <f>E8</f>
        <v>17000</v>
      </c>
      <c r="F7" s="528">
        <f>F8</f>
        <v>0</v>
      </c>
      <c r="G7" s="528">
        <f>G8</f>
        <v>0</v>
      </c>
      <c r="H7" s="528">
        <f>H8</f>
        <v>0</v>
      </c>
      <c r="I7" s="529">
        <f>I8</f>
        <v>0</v>
      </c>
      <c r="J7" s="528">
        <f>J8</f>
        <v>0</v>
      </c>
      <c r="K7" s="528">
        <f>K8</f>
        <v>0</v>
      </c>
      <c r="L7" s="527">
        <f>L8</f>
        <v>-17000</v>
      </c>
      <c r="M7" s="528">
        <f>M8</f>
        <v>0</v>
      </c>
      <c r="N7" s="528">
        <f>N8</f>
        <v>0</v>
      </c>
      <c r="O7" s="530">
        <f>O8</f>
        <v>0</v>
      </c>
      <c r="P7" s="526">
        <f>P8</f>
        <v>0</v>
      </c>
      <c r="Q7" s="526">
        <f>Q8</f>
        <v>0</v>
      </c>
      <c r="R7" s="526">
        <f>R8</f>
        <v>0</v>
      </c>
      <c r="S7" s="526">
        <f>S8</f>
        <v>0</v>
      </c>
      <c r="T7" s="526">
        <f aca="true" t="shared" si="2" ref="T7:AB7">T8</f>
        <v>0</v>
      </c>
      <c r="U7" s="526">
        <f t="shared" si="2"/>
        <v>0</v>
      </c>
      <c r="V7" s="526">
        <f t="shared" si="2"/>
        <v>4500</v>
      </c>
      <c r="W7" s="526">
        <f t="shared" si="2"/>
        <v>0</v>
      </c>
      <c r="X7" s="526">
        <f t="shared" si="2"/>
        <v>0</v>
      </c>
      <c r="Y7" s="527">
        <f t="shared" si="2"/>
        <v>-4500</v>
      </c>
      <c r="Z7" s="526">
        <f t="shared" si="2"/>
        <v>0</v>
      </c>
      <c r="AA7" s="526">
        <f t="shared" si="2"/>
        <v>0</v>
      </c>
      <c r="AB7" s="526">
        <f t="shared" si="2"/>
        <v>0</v>
      </c>
      <c r="AC7" s="526">
        <f>AC8</f>
        <v>0</v>
      </c>
      <c r="AD7" s="531"/>
      <c r="AE7" s="762" t="s">
        <v>57</v>
      </c>
    </row>
    <row r="8" spans="1:31" s="504" customFormat="1" ht="22.5">
      <c r="A8" s="532"/>
      <c r="B8" s="142"/>
      <c r="C8" s="533" t="s">
        <v>96</v>
      </c>
      <c r="D8" s="10" t="s">
        <v>97</v>
      </c>
      <c r="E8" s="534">
        <v>17000</v>
      </c>
      <c r="F8" s="536"/>
      <c r="G8" s="536"/>
      <c r="H8" s="536"/>
      <c r="I8" s="536"/>
      <c r="J8" s="536"/>
      <c r="K8" s="536"/>
      <c r="L8" s="535">
        <v>-17000</v>
      </c>
      <c r="M8" s="536"/>
      <c r="N8" s="536"/>
      <c r="O8" s="537">
        <f>E8+F8+G8+H8+I8+J8+K8+L8+M8+N8</f>
        <v>0</v>
      </c>
      <c r="P8" s="534"/>
      <c r="Q8" s="534"/>
      <c r="R8" s="534"/>
      <c r="S8" s="534"/>
      <c r="T8" s="534"/>
      <c r="U8" s="534"/>
      <c r="V8" s="534">
        <v>4500</v>
      </c>
      <c r="W8" s="534"/>
      <c r="X8" s="534"/>
      <c r="Y8" s="535">
        <v>-4500</v>
      </c>
      <c r="Z8" s="534"/>
      <c r="AA8" s="534"/>
      <c r="AB8" s="534"/>
      <c r="AC8" s="4">
        <f>SUM(P8:AB8)</f>
        <v>0</v>
      </c>
      <c r="AD8" s="6"/>
      <c r="AE8" s="763"/>
    </row>
    <row r="9" spans="1:31" s="504" customFormat="1" ht="11.25">
      <c r="A9" s="532"/>
      <c r="B9" s="538" t="s">
        <v>98</v>
      </c>
      <c r="C9" s="509"/>
      <c r="D9" s="510" t="s">
        <v>99</v>
      </c>
      <c r="E9" s="539">
        <f>E10</f>
        <v>0</v>
      </c>
      <c r="F9" s="540">
        <f>F10</f>
        <v>3500</v>
      </c>
      <c r="G9" s="540"/>
      <c r="H9" s="541">
        <f>H10+H11</f>
        <v>157657</v>
      </c>
      <c r="I9" s="529">
        <f>I10</f>
        <v>0</v>
      </c>
      <c r="J9" s="529">
        <f>J10</f>
        <v>0</v>
      </c>
      <c r="K9" s="541">
        <f>K10+K11</f>
        <v>320</v>
      </c>
      <c r="L9" s="541">
        <f>L10+L11+L12</f>
        <v>14500</v>
      </c>
      <c r="M9" s="541">
        <f>M10+M11+M12</f>
        <v>101456</v>
      </c>
      <c r="N9" s="541">
        <f>N10+N11+N12</f>
        <v>0</v>
      </c>
      <c r="O9" s="542">
        <f>O10+O11+O12</f>
        <v>277433</v>
      </c>
      <c r="P9" s="539"/>
      <c r="Q9" s="12">
        <f>Q10</f>
        <v>0</v>
      </c>
      <c r="R9" s="12">
        <f>R10</f>
        <v>0</v>
      </c>
      <c r="S9" s="12">
        <f>S10</f>
        <v>0</v>
      </c>
      <c r="T9" s="12">
        <f>T10+T11</f>
        <v>157656.75</v>
      </c>
      <c r="U9" s="539">
        <f>U10</f>
        <v>0</v>
      </c>
      <c r="V9" s="12">
        <f>V10+V11</f>
        <v>0</v>
      </c>
      <c r="W9" s="12">
        <f>W10+W11</f>
        <v>3818.8</v>
      </c>
      <c r="X9" s="12">
        <f>X10+X11</f>
        <v>0</v>
      </c>
      <c r="Y9" s="539">
        <f>SUM(Y10:Y12)</f>
        <v>114457.28</v>
      </c>
      <c r="Z9" s="539">
        <f>SUM(Z10:Z12)</f>
        <v>1559.96</v>
      </c>
      <c r="AA9" s="539">
        <f>SUM(AA10:AA12)</f>
        <v>0</v>
      </c>
      <c r="AB9" s="543">
        <f>SUM(AB10:AB12)</f>
        <v>0</v>
      </c>
      <c r="AC9" s="539">
        <f>SUM(AC10:AC12)</f>
        <v>277492.79</v>
      </c>
      <c r="AD9" s="531">
        <f t="shared" si="1"/>
        <v>100.02155114928648</v>
      </c>
      <c r="AE9" s="539"/>
    </row>
    <row r="10" spans="1:31" s="504" customFormat="1" ht="96.75" customHeight="1">
      <c r="A10" s="532"/>
      <c r="B10" s="142"/>
      <c r="C10" s="533" t="s">
        <v>100</v>
      </c>
      <c r="D10" s="10" t="s">
        <v>101</v>
      </c>
      <c r="E10" s="534"/>
      <c r="F10" s="536">
        <v>3500</v>
      </c>
      <c r="G10" s="536"/>
      <c r="H10" s="536"/>
      <c r="I10" s="536"/>
      <c r="J10" s="536"/>
      <c r="K10" s="536">
        <v>320</v>
      </c>
      <c r="L10" s="536"/>
      <c r="M10" s="536">
        <v>80</v>
      </c>
      <c r="N10" s="536"/>
      <c r="O10" s="537">
        <f>E10+F10+G10+H10+I10+J10+K10+L10+M10+N10</f>
        <v>3900</v>
      </c>
      <c r="P10" s="534"/>
      <c r="Q10" s="534"/>
      <c r="R10" s="534"/>
      <c r="S10" s="534"/>
      <c r="T10" s="534"/>
      <c r="U10" s="534"/>
      <c r="V10" s="534"/>
      <c r="W10" s="534">
        <v>3818.8</v>
      </c>
      <c r="X10" s="534"/>
      <c r="Y10" s="534">
        <v>82.17</v>
      </c>
      <c r="Z10" s="534">
        <v>59.96</v>
      </c>
      <c r="AA10" s="534"/>
      <c r="AB10" s="534"/>
      <c r="AC10" s="4">
        <f>SUM(P10:AB10)</f>
        <v>3960.9300000000003</v>
      </c>
      <c r="AD10" s="6">
        <f t="shared" si="1"/>
        <v>101.5623076923077</v>
      </c>
      <c r="AE10" s="2" t="s">
        <v>476</v>
      </c>
    </row>
    <row r="11" spans="1:31" s="504" customFormat="1" ht="101.25">
      <c r="A11" s="532"/>
      <c r="B11" s="544"/>
      <c r="C11" s="544">
        <v>2010</v>
      </c>
      <c r="D11" s="545" t="s">
        <v>102</v>
      </c>
      <c r="E11" s="534"/>
      <c r="F11" s="536"/>
      <c r="G11" s="536"/>
      <c r="H11" s="536">
        <v>157657</v>
      </c>
      <c r="I11" s="536"/>
      <c r="J11" s="536"/>
      <c r="K11" s="536"/>
      <c r="L11" s="536"/>
      <c r="M11" s="536">
        <v>101376</v>
      </c>
      <c r="N11" s="536"/>
      <c r="O11" s="537">
        <f>E11+F11+G11+H11+I11+J11+K11+L11+M11+N11</f>
        <v>259033</v>
      </c>
      <c r="P11" s="534"/>
      <c r="Q11" s="534"/>
      <c r="R11" s="534"/>
      <c r="S11" s="534"/>
      <c r="T11" s="534">
        <v>157656.75</v>
      </c>
      <c r="U11" s="534"/>
      <c r="V11" s="534"/>
      <c r="W11" s="534"/>
      <c r="X11" s="534"/>
      <c r="Y11" s="534">
        <v>101375.11</v>
      </c>
      <c r="Z11" s="534"/>
      <c r="AA11" s="534"/>
      <c r="AB11" s="534"/>
      <c r="AC11" s="4">
        <f>SUM(P11:AB11)</f>
        <v>259031.86</v>
      </c>
      <c r="AD11" s="6">
        <f t="shared" si="1"/>
        <v>99.99955990163416</v>
      </c>
      <c r="AE11" s="6" t="s">
        <v>477</v>
      </c>
    </row>
    <row r="12" spans="1:31" s="504" customFormat="1" ht="67.5">
      <c r="A12" s="532"/>
      <c r="B12" s="142"/>
      <c r="C12" s="142">
        <v>2710</v>
      </c>
      <c r="D12" s="10" t="s">
        <v>470</v>
      </c>
      <c r="E12" s="534"/>
      <c r="F12" s="536"/>
      <c r="G12" s="536"/>
      <c r="H12" s="536"/>
      <c r="I12" s="536"/>
      <c r="J12" s="536"/>
      <c r="K12" s="536"/>
      <c r="L12" s="536">
        <v>14500</v>
      </c>
      <c r="M12" s="536"/>
      <c r="N12" s="536"/>
      <c r="O12" s="537">
        <f>E12+F12+G12+H12+I12+J12+K12+L12+M12+N12</f>
        <v>14500</v>
      </c>
      <c r="P12" s="534"/>
      <c r="Q12" s="534"/>
      <c r="R12" s="534"/>
      <c r="S12" s="534"/>
      <c r="T12" s="534"/>
      <c r="U12" s="534"/>
      <c r="V12" s="534"/>
      <c r="W12" s="534"/>
      <c r="X12" s="534"/>
      <c r="Y12" s="534">
        <v>13000</v>
      </c>
      <c r="Z12" s="534">
        <v>1500</v>
      </c>
      <c r="AA12" s="534"/>
      <c r="AB12" s="534"/>
      <c r="AC12" s="4">
        <f>SUM(P12:AB12)</f>
        <v>14500</v>
      </c>
      <c r="AD12" s="6">
        <f t="shared" si="1"/>
        <v>100</v>
      </c>
      <c r="AE12" s="497" t="s">
        <v>478</v>
      </c>
    </row>
    <row r="13" spans="1:31" s="514" customFormat="1" ht="11.25">
      <c r="A13" s="546" t="s">
        <v>103</v>
      </c>
      <c r="B13" s="547"/>
      <c r="C13" s="547"/>
      <c r="D13" s="548" t="s">
        <v>104</v>
      </c>
      <c r="E13" s="549">
        <f aca="true" t="shared" si="3" ref="E13:AC14">SUM(E14)</f>
        <v>3500</v>
      </c>
      <c r="F13" s="550">
        <f t="shared" si="3"/>
        <v>-3500</v>
      </c>
      <c r="G13" s="551">
        <f t="shared" si="3"/>
        <v>0</v>
      </c>
      <c r="H13" s="551">
        <f t="shared" si="3"/>
        <v>0</v>
      </c>
      <c r="I13" s="551">
        <f t="shared" si="3"/>
        <v>0</v>
      </c>
      <c r="J13" s="551">
        <f t="shared" si="3"/>
        <v>0</v>
      </c>
      <c r="K13" s="551">
        <f t="shared" si="3"/>
        <v>0</v>
      </c>
      <c r="L13" s="551">
        <f t="shared" si="3"/>
        <v>0</v>
      </c>
      <c r="M13" s="551">
        <f t="shared" si="3"/>
        <v>0</v>
      </c>
      <c r="N13" s="551">
        <f t="shared" si="3"/>
        <v>0</v>
      </c>
      <c r="O13" s="549">
        <f t="shared" si="3"/>
        <v>0</v>
      </c>
      <c r="P13" s="549">
        <f t="shared" si="3"/>
        <v>0</v>
      </c>
      <c r="Q13" s="549">
        <f t="shared" si="3"/>
        <v>0</v>
      </c>
      <c r="R13" s="549">
        <f t="shared" si="3"/>
        <v>0</v>
      </c>
      <c r="S13" s="549">
        <f t="shared" si="3"/>
        <v>0</v>
      </c>
      <c r="T13" s="549">
        <f t="shared" si="3"/>
        <v>0</v>
      </c>
      <c r="U13" s="549">
        <f t="shared" si="3"/>
        <v>0</v>
      </c>
      <c r="V13" s="549">
        <f t="shared" si="3"/>
        <v>0</v>
      </c>
      <c r="W13" s="549">
        <f t="shared" si="3"/>
        <v>0</v>
      </c>
      <c r="X13" s="549">
        <f t="shared" si="3"/>
        <v>0</v>
      </c>
      <c r="Y13" s="549">
        <f t="shared" si="3"/>
        <v>0</v>
      </c>
      <c r="Z13" s="549">
        <f t="shared" si="3"/>
        <v>0</v>
      </c>
      <c r="AA13" s="549">
        <f t="shared" si="3"/>
        <v>0</v>
      </c>
      <c r="AB13" s="549">
        <f t="shared" si="3"/>
        <v>0</v>
      </c>
      <c r="AC13" s="549">
        <f t="shared" si="3"/>
        <v>0</v>
      </c>
      <c r="AD13" s="3"/>
      <c r="AE13" s="549"/>
    </row>
    <row r="14" spans="1:31" s="514" customFormat="1" ht="11.25">
      <c r="A14" s="509"/>
      <c r="B14" s="538" t="s">
        <v>105</v>
      </c>
      <c r="C14" s="509"/>
      <c r="D14" s="510" t="s">
        <v>99</v>
      </c>
      <c r="E14" s="552">
        <f t="shared" si="3"/>
        <v>3500</v>
      </c>
      <c r="F14" s="553">
        <f t="shared" si="3"/>
        <v>-3500</v>
      </c>
      <c r="G14" s="554">
        <f t="shared" si="3"/>
        <v>0</v>
      </c>
      <c r="H14" s="554">
        <f t="shared" si="3"/>
        <v>0</v>
      </c>
      <c r="I14" s="554">
        <f t="shared" si="3"/>
        <v>0</v>
      </c>
      <c r="J14" s="554">
        <f t="shared" si="3"/>
        <v>0</v>
      </c>
      <c r="K14" s="554">
        <f t="shared" si="3"/>
        <v>0</v>
      </c>
      <c r="L14" s="554">
        <f t="shared" si="3"/>
        <v>0</v>
      </c>
      <c r="M14" s="554">
        <f t="shared" si="3"/>
        <v>0</v>
      </c>
      <c r="N14" s="554">
        <f t="shared" si="3"/>
        <v>0</v>
      </c>
      <c r="O14" s="555">
        <f t="shared" si="3"/>
        <v>0</v>
      </c>
      <c r="P14" s="552">
        <f t="shared" si="3"/>
        <v>0</v>
      </c>
      <c r="Q14" s="552">
        <f t="shared" si="3"/>
        <v>0</v>
      </c>
      <c r="R14" s="552">
        <f t="shared" si="3"/>
        <v>0</v>
      </c>
      <c r="S14" s="552">
        <f t="shared" si="3"/>
        <v>0</v>
      </c>
      <c r="T14" s="552">
        <f t="shared" si="3"/>
        <v>0</v>
      </c>
      <c r="U14" s="552">
        <f t="shared" si="3"/>
        <v>0</v>
      </c>
      <c r="V14" s="552">
        <f t="shared" si="3"/>
        <v>0</v>
      </c>
      <c r="W14" s="552">
        <f t="shared" si="3"/>
        <v>0</v>
      </c>
      <c r="X14" s="552">
        <f t="shared" si="3"/>
        <v>0</v>
      </c>
      <c r="Y14" s="552">
        <f t="shared" si="3"/>
        <v>0</v>
      </c>
      <c r="Z14" s="552">
        <f t="shared" si="3"/>
        <v>0</v>
      </c>
      <c r="AA14" s="552">
        <f t="shared" si="3"/>
        <v>0</v>
      </c>
      <c r="AB14" s="552">
        <f t="shared" si="3"/>
        <v>0</v>
      </c>
      <c r="AC14" s="552">
        <f t="shared" si="3"/>
        <v>0</v>
      </c>
      <c r="AD14" s="13"/>
      <c r="AE14" s="552"/>
    </row>
    <row r="15" spans="1:31" s="514" customFormat="1" ht="84" customHeight="1">
      <c r="A15" s="509"/>
      <c r="B15" s="142"/>
      <c r="C15" s="533" t="s">
        <v>100</v>
      </c>
      <c r="D15" s="10" t="s">
        <v>101</v>
      </c>
      <c r="E15" s="556">
        <v>3500</v>
      </c>
      <c r="F15" s="557">
        <v>-3500</v>
      </c>
      <c r="G15" s="558"/>
      <c r="H15" s="558"/>
      <c r="I15" s="558"/>
      <c r="J15" s="558"/>
      <c r="K15" s="558"/>
      <c r="L15" s="558"/>
      <c r="M15" s="558"/>
      <c r="N15" s="558"/>
      <c r="O15" s="537">
        <f>E15+F15+G15+H15+I15+J15+K15+L15+M15+N15</f>
        <v>0</v>
      </c>
      <c r="P15" s="556"/>
      <c r="Q15" s="556"/>
      <c r="R15" s="556"/>
      <c r="S15" s="556"/>
      <c r="T15" s="556"/>
      <c r="U15" s="556"/>
      <c r="V15" s="556"/>
      <c r="W15" s="556"/>
      <c r="X15" s="556"/>
      <c r="Y15" s="556"/>
      <c r="Z15" s="556"/>
      <c r="AA15" s="556"/>
      <c r="AB15" s="556"/>
      <c r="AC15" s="4">
        <f>SUM(P15:AB15)</f>
        <v>0</v>
      </c>
      <c r="AD15" s="6"/>
      <c r="AE15" s="2" t="s">
        <v>106</v>
      </c>
    </row>
    <row r="16" spans="1:31" s="514" customFormat="1" ht="11.25">
      <c r="A16" s="559">
        <v>600</v>
      </c>
      <c r="B16" s="559"/>
      <c r="C16" s="559"/>
      <c r="D16" s="560" t="s">
        <v>107</v>
      </c>
      <c r="E16" s="549">
        <f aca="true" t="shared" si="4" ref="E16:T17">E17</f>
        <v>0</v>
      </c>
      <c r="F16" s="551">
        <f t="shared" si="4"/>
        <v>0</v>
      </c>
      <c r="G16" s="551">
        <f t="shared" si="4"/>
        <v>0</v>
      </c>
      <c r="H16" s="551">
        <f>H17+H19</f>
        <v>57200</v>
      </c>
      <c r="I16" s="551">
        <f>I17+I19</f>
        <v>0</v>
      </c>
      <c r="J16" s="551">
        <f t="shared" si="4"/>
        <v>0</v>
      </c>
      <c r="K16" s="551">
        <f t="shared" si="4"/>
        <v>0</v>
      </c>
      <c r="L16" s="551">
        <f t="shared" si="4"/>
        <v>0</v>
      </c>
      <c r="M16" s="551">
        <f t="shared" si="4"/>
        <v>0</v>
      </c>
      <c r="N16" s="551">
        <f t="shared" si="4"/>
        <v>0</v>
      </c>
      <c r="O16" s="549">
        <f>O17+O19</f>
        <v>57200</v>
      </c>
      <c r="P16" s="549">
        <f t="shared" si="4"/>
        <v>0</v>
      </c>
      <c r="Q16" s="549">
        <f t="shared" si="4"/>
        <v>0</v>
      </c>
      <c r="R16" s="549">
        <f t="shared" si="4"/>
        <v>0</v>
      </c>
      <c r="S16" s="549">
        <f t="shared" si="4"/>
        <v>0</v>
      </c>
      <c r="T16" s="549">
        <f t="shared" si="4"/>
        <v>0</v>
      </c>
      <c r="U16" s="549">
        <f aca="true" t="shared" si="5" ref="U16:AC17">U17</f>
        <v>0</v>
      </c>
      <c r="V16" s="549">
        <f t="shared" si="5"/>
        <v>0</v>
      </c>
      <c r="W16" s="549">
        <f t="shared" si="5"/>
        <v>0</v>
      </c>
      <c r="X16" s="549">
        <f t="shared" si="5"/>
        <v>0</v>
      </c>
      <c r="Y16" s="549">
        <f t="shared" si="5"/>
        <v>0</v>
      </c>
      <c r="Z16" s="549">
        <f>Z17+Z19</f>
        <v>57200</v>
      </c>
      <c r="AA16" s="549">
        <f>AA17+AA19</f>
        <v>0</v>
      </c>
      <c r="AB16" s="549">
        <f>AB17+AB19</f>
        <v>0</v>
      </c>
      <c r="AC16" s="549">
        <f>AC17+AC19</f>
        <v>57200</v>
      </c>
      <c r="AD16" s="3">
        <f aca="true" t="shared" si="6" ref="AD16:AD79">AC16*100/O16</f>
        <v>100</v>
      </c>
      <c r="AE16" s="549"/>
    </row>
    <row r="17" spans="1:31" s="514" customFormat="1" ht="53.25" customHeight="1" hidden="1">
      <c r="A17" s="513"/>
      <c r="B17" s="513">
        <v>60014</v>
      </c>
      <c r="C17" s="513"/>
      <c r="D17" s="561" t="s">
        <v>108</v>
      </c>
      <c r="E17" s="552">
        <f>E18</f>
        <v>0</v>
      </c>
      <c r="F17" s="554">
        <f>F18</f>
        <v>0</v>
      </c>
      <c r="G17" s="554">
        <f>G18</f>
        <v>0</v>
      </c>
      <c r="H17" s="554">
        <f t="shared" si="4"/>
        <v>0</v>
      </c>
      <c r="I17" s="554">
        <f>I18</f>
        <v>0</v>
      </c>
      <c r="J17" s="554">
        <f t="shared" si="4"/>
        <v>0</v>
      </c>
      <c r="K17" s="554">
        <f t="shared" si="4"/>
        <v>0</v>
      </c>
      <c r="L17" s="554">
        <f t="shared" si="4"/>
        <v>0</v>
      </c>
      <c r="M17" s="554">
        <f t="shared" si="4"/>
        <v>0</v>
      </c>
      <c r="N17" s="554">
        <f t="shared" si="4"/>
        <v>0</v>
      </c>
      <c r="O17" s="555">
        <f>O18</f>
        <v>0</v>
      </c>
      <c r="P17" s="552">
        <f t="shared" si="4"/>
        <v>0</v>
      </c>
      <c r="Q17" s="552">
        <f t="shared" si="4"/>
        <v>0</v>
      </c>
      <c r="R17" s="552">
        <f t="shared" si="4"/>
        <v>0</v>
      </c>
      <c r="S17" s="552">
        <f t="shared" si="4"/>
        <v>0</v>
      </c>
      <c r="T17" s="552">
        <f t="shared" si="4"/>
        <v>0</v>
      </c>
      <c r="U17" s="552">
        <f t="shared" si="5"/>
        <v>0</v>
      </c>
      <c r="V17" s="552">
        <f t="shared" si="5"/>
        <v>0</v>
      </c>
      <c r="W17" s="552">
        <f t="shared" si="5"/>
        <v>0</v>
      </c>
      <c r="X17" s="552">
        <f t="shared" si="5"/>
        <v>0</v>
      </c>
      <c r="Y17" s="552">
        <f t="shared" si="5"/>
        <v>0</v>
      </c>
      <c r="Z17" s="552">
        <f t="shared" si="5"/>
        <v>0</v>
      </c>
      <c r="AA17" s="552">
        <f t="shared" si="5"/>
        <v>0</v>
      </c>
      <c r="AB17" s="552">
        <f t="shared" si="5"/>
        <v>0</v>
      </c>
      <c r="AC17" s="552">
        <f t="shared" si="5"/>
        <v>0</v>
      </c>
      <c r="AD17" s="6" t="e">
        <f t="shared" si="6"/>
        <v>#DIV/0!</v>
      </c>
      <c r="AE17" s="552"/>
    </row>
    <row r="18" spans="1:31" s="514" customFormat="1" ht="53.25" customHeight="1" hidden="1">
      <c r="A18" s="513"/>
      <c r="B18" s="513"/>
      <c r="C18" s="562">
        <v>6620</v>
      </c>
      <c r="D18" s="563" t="s">
        <v>109</v>
      </c>
      <c r="E18" s="556"/>
      <c r="F18" s="558"/>
      <c r="G18" s="558"/>
      <c r="H18" s="558"/>
      <c r="I18" s="558"/>
      <c r="J18" s="558"/>
      <c r="K18" s="558"/>
      <c r="L18" s="558"/>
      <c r="M18" s="558"/>
      <c r="N18" s="558"/>
      <c r="O18" s="537">
        <f>E18+F18+G18+H18+I18+J18+K18</f>
        <v>0</v>
      </c>
      <c r="P18" s="556"/>
      <c r="Q18" s="556"/>
      <c r="R18" s="556"/>
      <c r="S18" s="556"/>
      <c r="T18" s="556"/>
      <c r="U18" s="556"/>
      <c r="V18" s="556"/>
      <c r="W18" s="556"/>
      <c r="X18" s="556"/>
      <c r="Y18" s="556"/>
      <c r="Z18" s="556"/>
      <c r="AA18" s="556"/>
      <c r="AB18" s="556"/>
      <c r="AC18" s="4">
        <f>SUM(P18:AA18)</f>
        <v>0</v>
      </c>
      <c r="AD18" s="6" t="e">
        <f t="shared" si="6"/>
        <v>#DIV/0!</v>
      </c>
      <c r="AE18" s="4"/>
    </row>
    <row r="19" spans="1:31" s="514" customFormat="1" ht="11.25">
      <c r="A19" s="513"/>
      <c r="B19" s="513">
        <v>60016</v>
      </c>
      <c r="C19" s="513"/>
      <c r="D19" s="561" t="s">
        <v>110</v>
      </c>
      <c r="E19" s="552">
        <f>E21</f>
        <v>0</v>
      </c>
      <c r="F19" s="554">
        <f>F21</f>
        <v>0</v>
      </c>
      <c r="G19" s="554">
        <f>G21</f>
        <v>0</v>
      </c>
      <c r="H19" s="554">
        <f>H21+H20</f>
        <v>57200</v>
      </c>
      <c r="I19" s="554">
        <f>I20+I21</f>
        <v>0</v>
      </c>
      <c r="J19" s="554">
        <f>J21</f>
        <v>0</v>
      </c>
      <c r="K19" s="554">
        <f>K21</f>
        <v>0</v>
      </c>
      <c r="L19" s="554">
        <f>L21</f>
        <v>0</v>
      </c>
      <c r="M19" s="554">
        <f>M21</f>
        <v>0</v>
      </c>
      <c r="N19" s="554">
        <f>N21</f>
        <v>0</v>
      </c>
      <c r="O19" s="555">
        <f>O21+O20</f>
        <v>57200</v>
      </c>
      <c r="P19" s="552">
        <f>P21</f>
        <v>0</v>
      </c>
      <c r="Q19" s="552">
        <f aca="true" t="shared" si="7" ref="Q19:AA19">Q21</f>
        <v>0</v>
      </c>
      <c r="R19" s="552">
        <f t="shared" si="7"/>
        <v>0</v>
      </c>
      <c r="S19" s="552">
        <f t="shared" si="7"/>
        <v>0</v>
      </c>
      <c r="T19" s="552">
        <f t="shared" si="7"/>
        <v>0</v>
      </c>
      <c r="U19" s="552">
        <f t="shared" si="7"/>
        <v>0</v>
      </c>
      <c r="V19" s="552">
        <f t="shared" si="7"/>
        <v>0</v>
      </c>
      <c r="W19" s="552">
        <f t="shared" si="7"/>
        <v>0</v>
      </c>
      <c r="X19" s="552">
        <f t="shared" si="7"/>
        <v>0</v>
      </c>
      <c r="Y19" s="552">
        <f t="shared" si="7"/>
        <v>0</v>
      </c>
      <c r="Z19" s="552">
        <f>Z20</f>
        <v>57200</v>
      </c>
      <c r="AA19" s="552">
        <f t="shared" si="7"/>
        <v>0</v>
      </c>
      <c r="AB19" s="552">
        <f>AB21</f>
        <v>0</v>
      </c>
      <c r="AC19" s="564">
        <f>AC21+AC20</f>
        <v>57200</v>
      </c>
      <c r="AD19" s="6">
        <f>AC19*100/O19</f>
        <v>100</v>
      </c>
      <c r="AE19" s="564"/>
    </row>
    <row r="20" spans="1:31" s="514" customFormat="1" ht="66.75" customHeight="1">
      <c r="A20" s="513"/>
      <c r="B20" s="513"/>
      <c r="C20" s="562">
        <v>6260</v>
      </c>
      <c r="D20" s="563" t="s">
        <v>111</v>
      </c>
      <c r="E20" s="556"/>
      <c r="F20" s="558"/>
      <c r="G20" s="558"/>
      <c r="H20" s="558">
        <v>57200</v>
      </c>
      <c r="I20" s="558"/>
      <c r="J20" s="558"/>
      <c r="K20" s="558"/>
      <c r="L20" s="558"/>
      <c r="M20" s="558"/>
      <c r="N20" s="558"/>
      <c r="O20" s="537">
        <f>E20+F20+G20+H20+I20+J20+K20+L20+M20+N20</f>
        <v>57200</v>
      </c>
      <c r="P20" s="556"/>
      <c r="Q20" s="556"/>
      <c r="R20" s="556"/>
      <c r="S20" s="556"/>
      <c r="T20" s="556"/>
      <c r="U20" s="556"/>
      <c r="V20" s="556"/>
      <c r="W20" s="556"/>
      <c r="X20" s="556"/>
      <c r="Y20" s="556"/>
      <c r="Z20" s="556">
        <v>57200</v>
      </c>
      <c r="AA20" s="556"/>
      <c r="AB20" s="556"/>
      <c r="AC20" s="4">
        <f>SUM(P20:AB20)</f>
        <v>57200</v>
      </c>
      <c r="AD20" s="6">
        <f t="shared" si="6"/>
        <v>100</v>
      </c>
      <c r="AE20" s="4" t="s">
        <v>479</v>
      </c>
    </row>
    <row r="21" spans="1:31" s="514" customFormat="1" ht="53.25" customHeight="1" hidden="1">
      <c r="A21" s="513"/>
      <c r="B21" s="513"/>
      <c r="C21" s="562">
        <v>6300</v>
      </c>
      <c r="D21" s="563" t="s">
        <v>112</v>
      </c>
      <c r="E21" s="556"/>
      <c r="F21" s="558"/>
      <c r="G21" s="558"/>
      <c r="H21" s="558"/>
      <c r="I21" s="558"/>
      <c r="J21" s="558"/>
      <c r="K21" s="558"/>
      <c r="L21" s="558"/>
      <c r="M21" s="558"/>
      <c r="N21" s="558"/>
      <c r="O21" s="537">
        <f>E21+F21+G21+H21+I21+J21+K21</f>
        <v>0</v>
      </c>
      <c r="P21" s="556"/>
      <c r="Q21" s="556"/>
      <c r="R21" s="556"/>
      <c r="S21" s="556"/>
      <c r="T21" s="556"/>
      <c r="U21" s="556"/>
      <c r="V21" s="556"/>
      <c r="W21" s="556"/>
      <c r="X21" s="556"/>
      <c r="Y21" s="556"/>
      <c r="Z21" s="556"/>
      <c r="AA21" s="556"/>
      <c r="AB21" s="556"/>
      <c r="AC21" s="4">
        <f>SUM(P21:AA21)</f>
        <v>0</v>
      </c>
      <c r="AD21" s="6" t="e">
        <f t="shared" si="6"/>
        <v>#DIV/0!</v>
      </c>
      <c r="AE21" s="4"/>
    </row>
    <row r="22" spans="1:31" s="514" customFormat="1" ht="21">
      <c r="A22" s="565">
        <v>700</v>
      </c>
      <c r="B22" s="565"/>
      <c r="C22" s="565"/>
      <c r="D22" s="548" t="s">
        <v>113</v>
      </c>
      <c r="E22" s="549">
        <f aca="true" t="shared" si="8" ref="E22:AB22">E23</f>
        <v>1018229</v>
      </c>
      <c r="F22" s="550">
        <f t="shared" si="8"/>
        <v>-140000</v>
      </c>
      <c r="G22" s="551">
        <f t="shared" si="8"/>
        <v>0</v>
      </c>
      <c r="H22" s="551">
        <f t="shared" si="8"/>
        <v>602000</v>
      </c>
      <c r="I22" s="551">
        <f t="shared" si="8"/>
        <v>1850000</v>
      </c>
      <c r="J22" s="551">
        <f t="shared" si="8"/>
        <v>0</v>
      </c>
      <c r="K22" s="551">
        <f t="shared" si="8"/>
        <v>487000</v>
      </c>
      <c r="L22" s="551">
        <f t="shared" si="8"/>
        <v>10000</v>
      </c>
      <c r="M22" s="551">
        <f t="shared" si="8"/>
        <v>10700</v>
      </c>
      <c r="N22" s="551">
        <f t="shared" si="8"/>
        <v>32330</v>
      </c>
      <c r="O22" s="549">
        <f t="shared" si="8"/>
        <v>3870259</v>
      </c>
      <c r="P22" s="549">
        <f t="shared" si="8"/>
        <v>3358.42</v>
      </c>
      <c r="Q22" s="549">
        <f t="shared" si="8"/>
        <v>12172.74</v>
      </c>
      <c r="R22" s="549">
        <f t="shared" si="8"/>
        <v>23413.21</v>
      </c>
      <c r="S22" s="549">
        <f t="shared" si="8"/>
        <v>21276.87</v>
      </c>
      <c r="T22" s="549">
        <f>T23</f>
        <v>27423.69</v>
      </c>
      <c r="U22" s="549">
        <f t="shared" si="8"/>
        <v>11369.490000000002</v>
      </c>
      <c r="V22" s="549">
        <f t="shared" si="8"/>
        <v>930834.66</v>
      </c>
      <c r="W22" s="549">
        <f t="shared" si="8"/>
        <v>2251845.51</v>
      </c>
      <c r="X22" s="549">
        <f t="shared" si="8"/>
        <v>542565.34</v>
      </c>
      <c r="Y22" s="549">
        <f t="shared" si="8"/>
        <v>9620.609999999999</v>
      </c>
      <c r="Z22" s="549">
        <f t="shared" si="8"/>
        <v>8788.84</v>
      </c>
      <c r="AA22" s="549">
        <f t="shared" si="8"/>
        <v>39794.07</v>
      </c>
      <c r="AB22" s="549">
        <f t="shared" si="8"/>
        <v>0</v>
      </c>
      <c r="AC22" s="549">
        <f>AC23</f>
        <v>3882463.4499999997</v>
      </c>
      <c r="AD22" s="3">
        <f t="shared" si="6"/>
        <v>100.31533936100918</v>
      </c>
      <c r="AE22" s="549"/>
    </row>
    <row r="23" spans="1:31" s="514" customFormat="1" ht="21">
      <c r="A23" s="509"/>
      <c r="B23" s="509">
        <v>70005</v>
      </c>
      <c r="C23" s="509"/>
      <c r="D23" s="510" t="s">
        <v>114</v>
      </c>
      <c r="E23" s="564">
        <f>SUM(E24:E29)</f>
        <v>1018229</v>
      </c>
      <c r="F23" s="566">
        <f aca="true" t="shared" si="9" ref="F23:AA23">SUM(F24:F29)</f>
        <v>-140000</v>
      </c>
      <c r="G23" s="567">
        <f t="shared" si="9"/>
        <v>0</v>
      </c>
      <c r="H23" s="567">
        <f t="shared" si="9"/>
        <v>602000</v>
      </c>
      <c r="I23" s="567">
        <f t="shared" si="9"/>
        <v>1850000</v>
      </c>
      <c r="J23" s="567">
        <f t="shared" si="9"/>
        <v>0</v>
      </c>
      <c r="K23" s="567">
        <f t="shared" si="9"/>
        <v>487000</v>
      </c>
      <c r="L23" s="567">
        <f>SUM(L24:L29)</f>
        <v>10000</v>
      </c>
      <c r="M23" s="567">
        <f>SUM(M24:M29)</f>
        <v>10700</v>
      </c>
      <c r="N23" s="567">
        <f>SUM(N24:N29)</f>
        <v>32330</v>
      </c>
      <c r="O23" s="555">
        <f t="shared" si="9"/>
        <v>3870259</v>
      </c>
      <c r="P23" s="564">
        <f t="shared" si="9"/>
        <v>3358.42</v>
      </c>
      <c r="Q23" s="564">
        <f t="shared" si="9"/>
        <v>12172.74</v>
      </c>
      <c r="R23" s="564">
        <f t="shared" si="9"/>
        <v>23413.21</v>
      </c>
      <c r="S23" s="564">
        <f t="shared" si="9"/>
        <v>21276.87</v>
      </c>
      <c r="T23" s="564">
        <f>SUM(T24:T29)</f>
        <v>27423.69</v>
      </c>
      <c r="U23" s="564">
        <f t="shared" si="9"/>
        <v>11369.490000000002</v>
      </c>
      <c r="V23" s="564">
        <f>SUM(V24:V29)</f>
        <v>930834.66</v>
      </c>
      <c r="W23" s="564">
        <f>SUM(W24:W29)</f>
        <v>2251845.51</v>
      </c>
      <c r="X23" s="564">
        <f t="shared" si="9"/>
        <v>542565.34</v>
      </c>
      <c r="Y23" s="564">
        <f t="shared" si="9"/>
        <v>9620.609999999999</v>
      </c>
      <c r="Z23" s="564">
        <f t="shared" si="9"/>
        <v>8788.84</v>
      </c>
      <c r="AA23" s="564">
        <f t="shared" si="9"/>
        <v>39794.07</v>
      </c>
      <c r="AB23" s="564">
        <f>SUM(AB24:AB29)</f>
        <v>0</v>
      </c>
      <c r="AC23" s="564">
        <f>SUM(AC24:AC29)</f>
        <v>3882463.4499999997</v>
      </c>
      <c r="AD23" s="13">
        <f t="shared" si="6"/>
        <v>100.31533936100918</v>
      </c>
      <c r="AE23" s="564"/>
    </row>
    <row r="24" spans="1:31" s="514" customFormat="1" ht="44.25">
      <c r="A24" s="509"/>
      <c r="B24" s="142"/>
      <c r="C24" s="533" t="s">
        <v>115</v>
      </c>
      <c r="D24" s="10" t="s">
        <v>116</v>
      </c>
      <c r="E24" s="556">
        <f>21299+17320+8000</f>
        <v>46619</v>
      </c>
      <c r="F24" s="558"/>
      <c r="G24" s="558"/>
      <c r="H24" s="558"/>
      <c r="I24" s="558"/>
      <c r="J24" s="558"/>
      <c r="K24" s="558">
        <v>1000</v>
      </c>
      <c r="L24" s="558"/>
      <c r="M24" s="558"/>
      <c r="N24" s="558"/>
      <c r="O24" s="537">
        <f aca="true" t="shared" si="10" ref="O24:O29">E24+F24+G24+H24+I24+J24+K24+L24+M24+N24</f>
        <v>47619</v>
      </c>
      <c r="P24" s="556"/>
      <c r="Q24" s="556"/>
      <c r="R24" s="556">
        <v>15309.96</v>
      </c>
      <c r="S24" s="556">
        <v>7444.87</v>
      </c>
      <c r="T24" s="556">
        <v>21446.53</v>
      </c>
      <c r="U24" s="556">
        <v>839.04</v>
      </c>
      <c r="V24" s="556"/>
      <c r="W24" s="556"/>
      <c r="X24" s="556">
        <v>2298</v>
      </c>
      <c r="Y24" s="556"/>
      <c r="Z24" s="556"/>
      <c r="AA24" s="556">
        <v>446.51</v>
      </c>
      <c r="AB24" s="556"/>
      <c r="AC24" s="4">
        <f aca="true" t="shared" si="11" ref="AC24:AC29">SUM(P24:AB24)</f>
        <v>47784.91</v>
      </c>
      <c r="AD24" s="6">
        <f>AC24*100/O24</f>
        <v>100.34841134841135</v>
      </c>
      <c r="AE24" s="4" t="s">
        <v>480</v>
      </c>
    </row>
    <row r="25" spans="1:31" s="514" customFormat="1" ht="87" customHeight="1">
      <c r="A25" s="509"/>
      <c r="B25" s="142"/>
      <c r="C25" s="533" t="s">
        <v>100</v>
      </c>
      <c r="D25" s="10" t="s">
        <v>101</v>
      </c>
      <c r="E25" s="556">
        <f>200+14934+342+3788+36000+9120+140000</f>
        <v>204384</v>
      </c>
      <c r="F25" s="557">
        <v>-140000</v>
      </c>
      <c r="G25" s="558"/>
      <c r="H25" s="558"/>
      <c r="I25" s="558"/>
      <c r="J25" s="558"/>
      <c r="K25" s="558">
        <v>5000</v>
      </c>
      <c r="L25" s="558">
        <v>10000</v>
      </c>
      <c r="M25" s="558">
        <v>10000</v>
      </c>
      <c r="N25" s="558">
        <v>2000</v>
      </c>
      <c r="O25" s="537">
        <f t="shared" si="10"/>
        <v>91384</v>
      </c>
      <c r="P25" s="556">
        <v>3355.42</v>
      </c>
      <c r="Q25" s="556">
        <v>7095.24</v>
      </c>
      <c r="R25" s="556">
        <v>3286.9</v>
      </c>
      <c r="S25" s="556">
        <v>4774.57</v>
      </c>
      <c r="T25" s="556">
        <v>3344.82</v>
      </c>
      <c r="U25" s="556">
        <v>10516.7</v>
      </c>
      <c r="V25" s="556">
        <v>5084.82</v>
      </c>
      <c r="W25" s="556">
        <v>27798.51</v>
      </c>
      <c r="X25" s="556">
        <v>11668.84</v>
      </c>
      <c r="Y25" s="556">
        <v>6928.84</v>
      </c>
      <c r="Z25" s="556">
        <v>3848.84</v>
      </c>
      <c r="AA25" s="556">
        <v>3788.84</v>
      </c>
      <c r="AB25" s="556"/>
      <c r="AC25" s="4">
        <f t="shared" si="11"/>
        <v>91492.33999999998</v>
      </c>
      <c r="AD25" s="6">
        <f t="shared" si="6"/>
        <v>100.1185546704018</v>
      </c>
      <c r="AE25" s="4" t="s">
        <v>481</v>
      </c>
    </row>
    <row r="26" spans="1:31" s="514" customFormat="1" ht="101.25">
      <c r="A26" s="509"/>
      <c r="B26" s="142"/>
      <c r="C26" s="533" t="s">
        <v>117</v>
      </c>
      <c r="D26" s="10" t="s">
        <v>118</v>
      </c>
      <c r="E26" s="556">
        <f>450000+12426+300000</f>
        <v>762426</v>
      </c>
      <c r="F26" s="558"/>
      <c r="G26" s="558"/>
      <c r="H26" s="558">
        <v>600000</v>
      </c>
      <c r="I26" s="558"/>
      <c r="J26" s="558"/>
      <c r="K26" s="558">
        <v>480000</v>
      </c>
      <c r="L26" s="558"/>
      <c r="M26" s="558"/>
      <c r="N26" s="558">
        <v>30000</v>
      </c>
      <c r="O26" s="537">
        <f t="shared" si="10"/>
        <v>1872426</v>
      </c>
      <c r="P26" s="556"/>
      <c r="Q26" s="556">
        <v>5000</v>
      </c>
      <c r="R26" s="556">
        <v>3471.5</v>
      </c>
      <c r="S26" s="556">
        <v>8943</v>
      </c>
      <c r="T26" s="556"/>
      <c r="U26" s="556"/>
      <c r="V26" s="556">
        <v>922720</v>
      </c>
      <c r="W26" s="556">
        <v>373920</v>
      </c>
      <c r="X26" s="556">
        <v>528500</v>
      </c>
      <c r="Y26" s="556">
        <v>1887.3</v>
      </c>
      <c r="Z26" s="556"/>
      <c r="AA26" s="556">
        <v>34990</v>
      </c>
      <c r="AB26" s="556"/>
      <c r="AC26" s="4">
        <f t="shared" si="11"/>
        <v>1879431.8</v>
      </c>
      <c r="AD26" s="6">
        <f t="shared" si="6"/>
        <v>100.3741563084469</v>
      </c>
      <c r="AE26" s="5" t="s">
        <v>482</v>
      </c>
    </row>
    <row r="27" spans="1:31" s="514" customFormat="1" ht="22.5">
      <c r="A27" s="509"/>
      <c r="B27" s="142"/>
      <c r="C27" s="533" t="s">
        <v>471</v>
      </c>
      <c r="D27" s="10" t="s">
        <v>472</v>
      </c>
      <c r="E27" s="556"/>
      <c r="F27" s="558"/>
      <c r="G27" s="558"/>
      <c r="H27" s="558"/>
      <c r="I27" s="558">
        <v>1850000</v>
      </c>
      <c r="J27" s="558"/>
      <c r="K27" s="558"/>
      <c r="L27" s="558"/>
      <c r="M27" s="558"/>
      <c r="N27" s="558"/>
      <c r="O27" s="537">
        <f t="shared" si="10"/>
        <v>1850000</v>
      </c>
      <c r="P27" s="556"/>
      <c r="Q27" s="556"/>
      <c r="R27" s="556"/>
      <c r="S27" s="556"/>
      <c r="T27" s="556"/>
      <c r="U27" s="556"/>
      <c r="V27" s="556"/>
      <c r="W27" s="556">
        <v>1850000</v>
      </c>
      <c r="X27" s="556"/>
      <c r="Y27" s="556"/>
      <c r="Z27" s="556">
        <v>4940</v>
      </c>
      <c r="AA27" s="556"/>
      <c r="AB27" s="556"/>
      <c r="AC27" s="4">
        <f t="shared" si="11"/>
        <v>1854940</v>
      </c>
      <c r="AD27" s="6">
        <f>AC27*100/O27</f>
        <v>100.26702702702703</v>
      </c>
      <c r="AE27" s="4" t="s">
        <v>483</v>
      </c>
    </row>
    <row r="28" spans="1:31" s="514" customFormat="1" ht="33.75">
      <c r="A28" s="509"/>
      <c r="B28" s="142"/>
      <c r="C28" s="533" t="s">
        <v>119</v>
      </c>
      <c r="D28" s="10" t="s">
        <v>120</v>
      </c>
      <c r="E28" s="556">
        <v>1600</v>
      </c>
      <c r="F28" s="558"/>
      <c r="G28" s="558"/>
      <c r="H28" s="558">
        <v>2000</v>
      </c>
      <c r="I28" s="558"/>
      <c r="J28" s="558"/>
      <c r="K28" s="558">
        <v>200</v>
      </c>
      <c r="L28" s="558"/>
      <c r="M28" s="558">
        <v>500</v>
      </c>
      <c r="N28" s="558">
        <v>330</v>
      </c>
      <c r="O28" s="537">
        <f t="shared" si="10"/>
        <v>4630</v>
      </c>
      <c r="P28" s="556">
        <v>3</v>
      </c>
      <c r="Q28" s="556">
        <v>77.5</v>
      </c>
      <c r="R28" s="556">
        <v>349.1</v>
      </c>
      <c r="S28" s="556">
        <v>30.73</v>
      </c>
      <c r="T28" s="556">
        <v>2632.34</v>
      </c>
      <c r="U28" s="556">
        <v>13.75</v>
      </c>
      <c r="V28" s="556">
        <v>392.42</v>
      </c>
      <c r="W28" s="556">
        <v>127</v>
      </c>
      <c r="X28" s="556">
        <v>98.5</v>
      </c>
      <c r="Y28" s="556">
        <v>341.75</v>
      </c>
      <c r="Z28" s="556"/>
      <c r="AA28" s="556">
        <v>568.72</v>
      </c>
      <c r="AB28" s="556"/>
      <c r="AC28" s="4">
        <f t="shared" si="11"/>
        <v>4634.81</v>
      </c>
      <c r="AD28" s="6">
        <f t="shared" si="6"/>
        <v>100.1038876889849</v>
      </c>
      <c r="AE28" s="4" t="s">
        <v>121</v>
      </c>
    </row>
    <row r="29" spans="1:31" s="514" customFormat="1" ht="22.5">
      <c r="A29" s="509"/>
      <c r="B29" s="142"/>
      <c r="C29" s="533" t="s">
        <v>122</v>
      </c>
      <c r="D29" s="10" t="s">
        <v>123</v>
      </c>
      <c r="E29" s="556">
        <v>3200</v>
      </c>
      <c r="F29" s="558"/>
      <c r="G29" s="558"/>
      <c r="H29" s="558"/>
      <c r="I29" s="558"/>
      <c r="J29" s="558"/>
      <c r="K29" s="558">
        <v>800</v>
      </c>
      <c r="L29" s="558"/>
      <c r="M29" s="558">
        <v>200</v>
      </c>
      <c r="N29" s="558"/>
      <c r="O29" s="537">
        <f t="shared" si="10"/>
        <v>4200</v>
      </c>
      <c r="P29" s="556"/>
      <c r="Q29" s="556"/>
      <c r="R29" s="556">
        <v>995.75</v>
      </c>
      <c r="S29" s="556">
        <v>83.7</v>
      </c>
      <c r="T29" s="556"/>
      <c r="U29" s="556"/>
      <c r="V29" s="556">
        <v>2637.42</v>
      </c>
      <c r="W29" s="556"/>
      <c r="X29" s="556"/>
      <c r="Y29" s="556">
        <v>462.72</v>
      </c>
      <c r="Z29" s="556"/>
      <c r="AA29" s="556"/>
      <c r="AB29" s="556"/>
      <c r="AC29" s="4">
        <f t="shared" si="11"/>
        <v>4179.59</v>
      </c>
      <c r="AD29" s="6">
        <f t="shared" si="6"/>
        <v>99.51404761904762</v>
      </c>
      <c r="AE29" s="4" t="s">
        <v>124</v>
      </c>
    </row>
    <row r="30" spans="1:31" s="514" customFormat="1" ht="11.25">
      <c r="A30" s="565">
        <v>750</v>
      </c>
      <c r="B30" s="565"/>
      <c r="C30" s="565"/>
      <c r="D30" s="548" t="s">
        <v>125</v>
      </c>
      <c r="E30" s="549">
        <f>E31+E34</f>
        <v>133110</v>
      </c>
      <c r="F30" s="551">
        <f aca="true" t="shared" si="12" ref="F30:AA30">F31+F34</f>
        <v>2485</v>
      </c>
      <c r="G30" s="551">
        <f t="shared" si="12"/>
        <v>0</v>
      </c>
      <c r="H30" s="550">
        <f t="shared" si="12"/>
        <v>-30000</v>
      </c>
      <c r="I30" s="550">
        <f t="shared" si="12"/>
        <v>-15000</v>
      </c>
      <c r="J30" s="551">
        <f t="shared" si="12"/>
        <v>0</v>
      </c>
      <c r="K30" s="551">
        <f t="shared" si="12"/>
        <v>0</v>
      </c>
      <c r="L30" s="550">
        <f>L31+L34</f>
        <v>-2200</v>
      </c>
      <c r="M30" s="551">
        <f>M31+M34</f>
        <v>0</v>
      </c>
      <c r="N30" s="550">
        <f>N31+N34</f>
        <v>-11000</v>
      </c>
      <c r="O30" s="549">
        <f t="shared" si="12"/>
        <v>77395</v>
      </c>
      <c r="P30" s="549">
        <f t="shared" si="12"/>
        <v>6530.96</v>
      </c>
      <c r="Q30" s="549">
        <f>Q31+Q34</f>
        <v>5802.04</v>
      </c>
      <c r="R30" s="549">
        <f t="shared" si="12"/>
        <v>6848.46</v>
      </c>
      <c r="S30" s="549">
        <f t="shared" si="12"/>
        <v>9231.1</v>
      </c>
      <c r="T30" s="549">
        <f>T31+T34</f>
        <v>4976.5</v>
      </c>
      <c r="U30" s="549">
        <f>U31+U34</f>
        <v>6897.45</v>
      </c>
      <c r="V30" s="549">
        <f>V31+V34</f>
        <v>10229.880000000001</v>
      </c>
      <c r="W30" s="549">
        <f t="shared" si="12"/>
        <v>7161.4800000000005</v>
      </c>
      <c r="X30" s="549">
        <f t="shared" si="12"/>
        <v>4455</v>
      </c>
      <c r="Y30" s="549">
        <f t="shared" si="12"/>
        <v>6578.06</v>
      </c>
      <c r="Z30" s="549">
        <f t="shared" si="12"/>
        <v>3391.06</v>
      </c>
      <c r="AA30" s="549">
        <f t="shared" si="12"/>
        <v>5546.5</v>
      </c>
      <c r="AB30" s="549">
        <f>AB31+AB34</f>
        <v>0</v>
      </c>
      <c r="AC30" s="549">
        <f>AC31+AC34</f>
        <v>77648.49</v>
      </c>
      <c r="AD30" s="3">
        <f t="shared" si="6"/>
        <v>100.3275276180632</v>
      </c>
      <c r="AE30" s="549"/>
    </row>
    <row r="31" spans="1:31" s="514" customFormat="1" ht="11.25">
      <c r="A31" s="509"/>
      <c r="B31" s="509">
        <v>75011</v>
      </c>
      <c r="C31" s="509"/>
      <c r="D31" s="510" t="s">
        <v>126</v>
      </c>
      <c r="E31" s="552">
        <f>SUM(E32:E33)</f>
        <v>55000</v>
      </c>
      <c r="F31" s="554">
        <f aca="true" t="shared" si="13" ref="F31:AA31">SUM(F32:F33)</f>
        <v>0</v>
      </c>
      <c r="G31" s="554">
        <f t="shared" si="13"/>
        <v>0</v>
      </c>
      <c r="H31" s="554">
        <f t="shared" si="13"/>
        <v>0</v>
      </c>
      <c r="I31" s="554">
        <f t="shared" si="13"/>
        <v>0</v>
      </c>
      <c r="J31" s="554">
        <f t="shared" si="13"/>
        <v>0</v>
      </c>
      <c r="K31" s="554">
        <f t="shared" si="13"/>
        <v>0</v>
      </c>
      <c r="L31" s="554">
        <f>SUM(L32:L33)</f>
        <v>2300</v>
      </c>
      <c r="M31" s="554">
        <f>SUM(M32:M33)</f>
        <v>0</v>
      </c>
      <c r="N31" s="554">
        <f>SUM(N32:N33)</f>
        <v>0</v>
      </c>
      <c r="O31" s="555">
        <f t="shared" si="13"/>
        <v>57300</v>
      </c>
      <c r="P31" s="552">
        <f t="shared" si="13"/>
        <v>4401</v>
      </c>
      <c r="Q31" s="552">
        <f t="shared" si="13"/>
        <v>5774.04</v>
      </c>
      <c r="R31" s="552">
        <f t="shared" si="13"/>
        <v>4760.5</v>
      </c>
      <c r="S31" s="552">
        <f t="shared" si="13"/>
        <v>4665.5</v>
      </c>
      <c r="T31" s="552">
        <f t="shared" si="13"/>
        <v>4956.5</v>
      </c>
      <c r="U31" s="552">
        <f t="shared" si="13"/>
        <v>5421.04</v>
      </c>
      <c r="V31" s="552">
        <f t="shared" si="13"/>
        <v>4140</v>
      </c>
      <c r="W31" s="552">
        <f t="shared" si="13"/>
        <v>5071.52</v>
      </c>
      <c r="X31" s="552">
        <f t="shared" si="13"/>
        <v>4415</v>
      </c>
      <c r="Y31" s="552">
        <f t="shared" si="13"/>
        <v>6558.06</v>
      </c>
      <c r="Z31" s="552">
        <f t="shared" si="13"/>
        <v>3391.06</v>
      </c>
      <c r="AA31" s="552">
        <f t="shared" si="13"/>
        <v>5046.5</v>
      </c>
      <c r="AB31" s="552">
        <f>SUM(AB32:AB33)</f>
        <v>0</v>
      </c>
      <c r="AC31" s="552">
        <f>SUM(AC32:AC33)</f>
        <v>58600.72</v>
      </c>
      <c r="AD31" s="13">
        <f t="shared" si="6"/>
        <v>102.27001745200698</v>
      </c>
      <c r="AE31" s="552"/>
    </row>
    <row r="32" spans="1:31" s="572" customFormat="1" ht="67.5">
      <c r="A32" s="568"/>
      <c r="B32" s="544"/>
      <c r="C32" s="544">
        <v>2010</v>
      </c>
      <c r="D32" s="545" t="s">
        <v>102</v>
      </c>
      <c r="E32" s="569">
        <v>53800</v>
      </c>
      <c r="F32" s="571"/>
      <c r="G32" s="571"/>
      <c r="H32" s="571"/>
      <c r="I32" s="571"/>
      <c r="J32" s="571"/>
      <c r="K32" s="571"/>
      <c r="L32" s="571">
        <v>2300</v>
      </c>
      <c r="M32" s="571"/>
      <c r="N32" s="571"/>
      <c r="O32" s="537">
        <f>E32+F32+G32+H32+I32+J32+K32+L32+M32+N32</f>
        <v>56100</v>
      </c>
      <c r="P32" s="569">
        <v>4158</v>
      </c>
      <c r="Q32" s="569">
        <v>5759</v>
      </c>
      <c r="R32" s="569">
        <v>4651</v>
      </c>
      <c r="S32" s="569">
        <v>4562</v>
      </c>
      <c r="T32" s="569">
        <v>4850</v>
      </c>
      <c r="U32" s="569">
        <v>5232</v>
      </c>
      <c r="V32" s="569">
        <v>3912</v>
      </c>
      <c r="W32" s="569">
        <v>4806</v>
      </c>
      <c r="X32" s="569">
        <v>4190</v>
      </c>
      <c r="Y32" s="569">
        <v>6396</v>
      </c>
      <c r="Z32" s="569">
        <v>3169</v>
      </c>
      <c r="AA32" s="569">
        <v>4415</v>
      </c>
      <c r="AB32" s="569"/>
      <c r="AC32" s="4">
        <f>SUM(P32:AB32)</f>
        <v>56100</v>
      </c>
      <c r="AD32" s="6">
        <f t="shared" si="6"/>
        <v>100</v>
      </c>
      <c r="AE32" s="4" t="s">
        <v>487</v>
      </c>
    </row>
    <row r="33" spans="1:31" s="514" customFormat="1" ht="67.5">
      <c r="A33" s="509"/>
      <c r="B33" s="142"/>
      <c r="C33" s="142">
        <v>2360</v>
      </c>
      <c r="D33" s="10" t="s">
        <v>956</v>
      </c>
      <c r="E33" s="556">
        <v>1200</v>
      </c>
      <c r="F33" s="558"/>
      <c r="G33" s="558"/>
      <c r="H33" s="558"/>
      <c r="I33" s="558"/>
      <c r="J33" s="558"/>
      <c r="K33" s="558"/>
      <c r="L33" s="558"/>
      <c r="M33" s="558"/>
      <c r="N33" s="558"/>
      <c r="O33" s="537">
        <f>E33+F33+G33+H33+I33+J33+K33+L33+M33+N33</f>
        <v>1200</v>
      </c>
      <c r="P33" s="556">
        <v>243</v>
      </c>
      <c r="Q33" s="556">
        <v>15.04</v>
      </c>
      <c r="R33" s="556">
        <v>109.5</v>
      </c>
      <c r="S33" s="556">
        <v>103.5</v>
      </c>
      <c r="T33" s="556">
        <v>106.5</v>
      </c>
      <c r="U33" s="556">
        <v>189.04</v>
      </c>
      <c r="V33" s="556">
        <v>228</v>
      </c>
      <c r="W33" s="556">
        <v>265.52</v>
      </c>
      <c r="X33" s="556">
        <v>225</v>
      </c>
      <c r="Y33" s="556">
        <v>162.06</v>
      </c>
      <c r="Z33" s="556">
        <v>222.06</v>
      </c>
      <c r="AA33" s="556">
        <v>631.5</v>
      </c>
      <c r="AB33" s="556"/>
      <c r="AC33" s="4">
        <f>SUM(P33:AB33)</f>
        <v>2500.72</v>
      </c>
      <c r="AD33" s="6">
        <f t="shared" si="6"/>
        <v>208.39333333333332</v>
      </c>
      <c r="AE33" s="4" t="s">
        <v>957</v>
      </c>
    </row>
    <row r="34" spans="1:31" s="514" customFormat="1" ht="11.25">
      <c r="A34" s="509"/>
      <c r="B34" s="509">
        <v>75023</v>
      </c>
      <c r="C34" s="509"/>
      <c r="D34" s="510" t="s">
        <v>958</v>
      </c>
      <c r="E34" s="552">
        <f>SUM(E35:E36)</f>
        <v>78110</v>
      </c>
      <c r="F34" s="554">
        <f>SUM(F35:F36)</f>
        <v>2485</v>
      </c>
      <c r="G34" s="554">
        <f aca="true" t="shared" si="14" ref="G34:L34">SUM(G36:G36)</f>
        <v>0</v>
      </c>
      <c r="H34" s="553">
        <f t="shared" si="14"/>
        <v>-30000</v>
      </c>
      <c r="I34" s="553">
        <f t="shared" si="14"/>
        <v>-15000</v>
      </c>
      <c r="J34" s="554">
        <f t="shared" si="14"/>
        <v>0</v>
      </c>
      <c r="K34" s="554">
        <f t="shared" si="14"/>
        <v>0</v>
      </c>
      <c r="L34" s="553">
        <f t="shared" si="14"/>
        <v>-4500</v>
      </c>
      <c r="M34" s="554">
        <f>SUM(M36:M36)</f>
        <v>0</v>
      </c>
      <c r="N34" s="553">
        <f>SUM(N35:N36)</f>
        <v>-11000</v>
      </c>
      <c r="O34" s="555">
        <f>SUM(O35:O36)</f>
        <v>20095</v>
      </c>
      <c r="P34" s="552">
        <f>SUM(P35:P36)</f>
        <v>2129.96</v>
      </c>
      <c r="Q34" s="552">
        <f>SUM(Q35:Q36)</f>
        <v>28</v>
      </c>
      <c r="R34" s="552">
        <f>SUM(R35:R36)</f>
        <v>2087.96</v>
      </c>
      <c r="S34" s="552">
        <f aca="true" t="shared" si="15" ref="S34:Z34">SUM(S35:S36)</f>
        <v>4565.6</v>
      </c>
      <c r="T34" s="552">
        <f t="shared" si="15"/>
        <v>20</v>
      </c>
      <c r="U34" s="552">
        <f t="shared" si="15"/>
        <v>1476.4099999999999</v>
      </c>
      <c r="V34" s="552">
        <f t="shared" si="15"/>
        <v>6089.88</v>
      </c>
      <c r="W34" s="552">
        <f t="shared" si="15"/>
        <v>2089.96</v>
      </c>
      <c r="X34" s="552">
        <f t="shared" si="15"/>
        <v>40</v>
      </c>
      <c r="Y34" s="552">
        <f t="shared" si="15"/>
        <v>20</v>
      </c>
      <c r="Z34" s="552">
        <f t="shared" si="15"/>
        <v>0</v>
      </c>
      <c r="AA34" s="552">
        <f>SUM(AA35:AA36)</f>
        <v>500</v>
      </c>
      <c r="AB34" s="552">
        <f>SUM(AB35:AB36)</f>
        <v>0</v>
      </c>
      <c r="AC34" s="552">
        <f>SUM(AC35:AC36)</f>
        <v>19047.77</v>
      </c>
      <c r="AD34" s="13">
        <f t="shared" si="6"/>
        <v>94.78860413038069</v>
      </c>
      <c r="AE34" s="552"/>
    </row>
    <row r="35" spans="1:31" s="514" customFormat="1" ht="22.5">
      <c r="A35" s="142"/>
      <c r="B35" s="142"/>
      <c r="C35" s="533" t="s">
        <v>959</v>
      </c>
      <c r="D35" s="10" t="s">
        <v>960</v>
      </c>
      <c r="E35" s="556">
        <v>2000</v>
      </c>
      <c r="F35" s="558"/>
      <c r="G35" s="558"/>
      <c r="H35" s="558"/>
      <c r="I35" s="557"/>
      <c r="J35" s="558"/>
      <c r="K35" s="558"/>
      <c r="L35" s="557"/>
      <c r="M35" s="558"/>
      <c r="N35" s="557"/>
      <c r="O35" s="537">
        <f>E35+F35+G35+H35+I35+J35+K35+L35+M35+N35</f>
        <v>2000</v>
      </c>
      <c r="P35" s="556">
        <v>100</v>
      </c>
      <c r="Q35" s="556">
        <v>28</v>
      </c>
      <c r="R35" s="556">
        <v>58</v>
      </c>
      <c r="S35" s="556">
        <v>40</v>
      </c>
      <c r="T35" s="556">
        <v>20</v>
      </c>
      <c r="U35" s="556">
        <v>500</v>
      </c>
      <c r="V35" s="556"/>
      <c r="W35" s="556">
        <v>60</v>
      </c>
      <c r="X35" s="556">
        <v>40</v>
      </c>
      <c r="Y35" s="556">
        <v>20</v>
      </c>
      <c r="Z35" s="556"/>
      <c r="AA35" s="556">
        <v>500</v>
      </c>
      <c r="AB35" s="556"/>
      <c r="AC35" s="4">
        <f>SUM(P35:AB35)</f>
        <v>1366</v>
      </c>
      <c r="AD35" s="6">
        <f>AC35*100/O35</f>
        <v>68.3</v>
      </c>
      <c r="AE35" s="4" t="s">
        <v>484</v>
      </c>
    </row>
    <row r="36" spans="1:31" s="514" customFormat="1" ht="22.5">
      <c r="A36" s="142"/>
      <c r="B36" s="142"/>
      <c r="C36" s="533" t="s">
        <v>96</v>
      </c>
      <c r="D36" s="10" t="s">
        <v>97</v>
      </c>
      <c r="E36" s="556">
        <f>24400+51710</f>
        <v>76110</v>
      </c>
      <c r="F36" s="558">
        <v>2485</v>
      </c>
      <c r="G36" s="558"/>
      <c r="H36" s="557">
        <v>-30000</v>
      </c>
      <c r="I36" s="557">
        <v>-15000</v>
      </c>
      <c r="J36" s="558"/>
      <c r="K36" s="558"/>
      <c r="L36" s="557">
        <v>-4500</v>
      </c>
      <c r="M36" s="558"/>
      <c r="N36" s="557">
        <v>-11000</v>
      </c>
      <c r="O36" s="537">
        <f>E36+F36+G36+H36+I36+J36+K36+L36+M36+N36</f>
        <v>18095</v>
      </c>
      <c r="P36" s="556">
        <v>2029.96</v>
      </c>
      <c r="Q36" s="556"/>
      <c r="R36" s="556">
        <v>2029.96</v>
      </c>
      <c r="S36" s="556">
        <v>4525.6</v>
      </c>
      <c r="T36" s="556"/>
      <c r="U36" s="556">
        <v>976.41</v>
      </c>
      <c r="V36" s="556">
        <v>6089.88</v>
      </c>
      <c r="W36" s="556">
        <v>2029.96</v>
      </c>
      <c r="X36" s="556"/>
      <c r="Y36" s="556"/>
      <c r="Z36" s="556"/>
      <c r="AA36" s="556"/>
      <c r="AB36" s="556"/>
      <c r="AC36" s="4">
        <f>SUM(P36:AB36)</f>
        <v>17681.77</v>
      </c>
      <c r="AD36" s="6">
        <f t="shared" si="6"/>
        <v>97.7163304780326</v>
      </c>
      <c r="AE36" s="4" t="s">
        <v>485</v>
      </c>
    </row>
    <row r="37" spans="1:31" s="514" customFormat="1" ht="41.25" customHeight="1">
      <c r="A37" s="565">
        <v>751</v>
      </c>
      <c r="B37" s="547"/>
      <c r="C37" s="547"/>
      <c r="D37" s="548" t="s">
        <v>961</v>
      </c>
      <c r="E37" s="549">
        <f>E38+E40+E42</f>
        <v>1095</v>
      </c>
      <c r="F37" s="551">
        <f aca="true" t="shared" si="16" ref="F37:AA37">F38+F40+F42</f>
        <v>0</v>
      </c>
      <c r="G37" s="551">
        <f t="shared" si="16"/>
        <v>0</v>
      </c>
      <c r="H37" s="551">
        <f t="shared" si="16"/>
        <v>0</v>
      </c>
      <c r="I37" s="551">
        <f t="shared" si="16"/>
        <v>0</v>
      </c>
      <c r="J37" s="551">
        <f t="shared" si="16"/>
        <v>0</v>
      </c>
      <c r="K37" s="551">
        <f t="shared" si="16"/>
        <v>1990</v>
      </c>
      <c r="L37" s="551">
        <f>L38+L40+L42</f>
        <v>8975</v>
      </c>
      <c r="M37" s="551">
        <f>M38+M40+M42</f>
        <v>0</v>
      </c>
      <c r="N37" s="551">
        <f>N38+N40+N42</f>
        <v>0</v>
      </c>
      <c r="O37" s="549">
        <f t="shared" si="16"/>
        <v>12060</v>
      </c>
      <c r="P37" s="549">
        <f t="shared" si="16"/>
        <v>91</v>
      </c>
      <c r="Q37" s="549">
        <f t="shared" si="16"/>
        <v>91</v>
      </c>
      <c r="R37" s="549">
        <f t="shared" si="16"/>
        <v>91</v>
      </c>
      <c r="S37" s="549">
        <f t="shared" si="16"/>
        <v>91</v>
      </c>
      <c r="T37" s="549">
        <f t="shared" si="16"/>
        <v>91</v>
      </c>
      <c r="U37" s="549">
        <f t="shared" si="16"/>
        <v>91</v>
      </c>
      <c r="V37" s="549">
        <f t="shared" si="16"/>
        <v>91</v>
      </c>
      <c r="W37" s="549">
        <f t="shared" si="16"/>
        <v>91</v>
      </c>
      <c r="X37" s="549">
        <f t="shared" si="16"/>
        <v>91</v>
      </c>
      <c r="Y37" s="549">
        <f t="shared" si="16"/>
        <v>11056</v>
      </c>
      <c r="Z37" s="549">
        <f t="shared" si="16"/>
        <v>91</v>
      </c>
      <c r="AA37" s="549">
        <f t="shared" si="16"/>
        <v>94</v>
      </c>
      <c r="AB37" s="549">
        <f>AB38+AB40+AB42</f>
        <v>0</v>
      </c>
      <c r="AC37" s="549">
        <f>AC38+AC40+AC42</f>
        <v>12060</v>
      </c>
      <c r="AD37" s="3">
        <f t="shared" si="6"/>
        <v>100</v>
      </c>
      <c r="AE37" s="549"/>
    </row>
    <row r="38" spans="1:31" s="572" customFormat="1" ht="42">
      <c r="A38" s="568"/>
      <c r="B38" s="568">
        <v>75101</v>
      </c>
      <c r="C38" s="568"/>
      <c r="D38" s="573" t="s">
        <v>962</v>
      </c>
      <c r="E38" s="564">
        <f aca="true" t="shared" si="17" ref="E38:AB38">E39</f>
        <v>1095</v>
      </c>
      <c r="F38" s="567">
        <f t="shared" si="17"/>
        <v>0</v>
      </c>
      <c r="G38" s="567">
        <f t="shared" si="17"/>
        <v>0</v>
      </c>
      <c r="H38" s="567">
        <f t="shared" si="17"/>
        <v>0</v>
      </c>
      <c r="I38" s="567">
        <f t="shared" si="17"/>
        <v>0</v>
      </c>
      <c r="J38" s="567">
        <f t="shared" si="17"/>
        <v>0</v>
      </c>
      <c r="K38" s="567">
        <f t="shared" si="17"/>
        <v>0</v>
      </c>
      <c r="L38" s="567">
        <f t="shared" si="17"/>
        <v>0</v>
      </c>
      <c r="M38" s="567">
        <f t="shared" si="17"/>
        <v>0</v>
      </c>
      <c r="N38" s="567">
        <f t="shared" si="17"/>
        <v>0</v>
      </c>
      <c r="O38" s="555">
        <f>O39</f>
        <v>1095</v>
      </c>
      <c r="P38" s="564">
        <f t="shared" si="17"/>
        <v>91</v>
      </c>
      <c r="Q38" s="564">
        <f t="shared" si="17"/>
        <v>91</v>
      </c>
      <c r="R38" s="564">
        <f t="shared" si="17"/>
        <v>91</v>
      </c>
      <c r="S38" s="564">
        <f t="shared" si="17"/>
        <v>91</v>
      </c>
      <c r="T38" s="564">
        <f t="shared" si="17"/>
        <v>91</v>
      </c>
      <c r="U38" s="564">
        <f t="shared" si="17"/>
        <v>91</v>
      </c>
      <c r="V38" s="564">
        <f t="shared" si="17"/>
        <v>91</v>
      </c>
      <c r="W38" s="564">
        <f t="shared" si="17"/>
        <v>91</v>
      </c>
      <c r="X38" s="564">
        <f t="shared" si="17"/>
        <v>91</v>
      </c>
      <c r="Y38" s="564">
        <f t="shared" si="17"/>
        <v>91</v>
      </c>
      <c r="Z38" s="564">
        <f t="shared" si="17"/>
        <v>91</v>
      </c>
      <c r="AA38" s="564">
        <f t="shared" si="17"/>
        <v>94</v>
      </c>
      <c r="AB38" s="564">
        <f t="shared" si="17"/>
        <v>0</v>
      </c>
      <c r="AC38" s="564">
        <f>AC39</f>
        <v>1095</v>
      </c>
      <c r="AD38" s="531">
        <f t="shared" si="6"/>
        <v>100</v>
      </c>
      <c r="AE38" s="771" t="s">
        <v>963</v>
      </c>
    </row>
    <row r="39" spans="1:31" s="572" customFormat="1" ht="67.5">
      <c r="A39" s="568"/>
      <c r="B39" s="544"/>
      <c r="C39" s="544">
        <v>2010</v>
      </c>
      <c r="D39" s="545" t="s">
        <v>102</v>
      </c>
      <c r="E39" s="569">
        <v>1095</v>
      </c>
      <c r="F39" s="571"/>
      <c r="G39" s="571"/>
      <c r="H39" s="571"/>
      <c r="I39" s="571"/>
      <c r="J39" s="571"/>
      <c r="K39" s="571"/>
      <c r="L39" s="571"/>
      <c r="M39" s="571"/>
      <c r="N39" s="571"/>
      <c r="O39" s="537">
        <f>E39+F39+G39+H39+I39+J39+K39+L39+M39+N39</f>
        <v>1095</v>
      </c>
      <c r="P39" s="569">
        <v>91</v>
      </c>
      <c r="Q39" s="569">
        <v>91</v>
      </c>
      <c r="R39" s="569">
        <v>91</v>
      </c>
      <c r="S39" s="569">
        <v>91</v>
      </c>
      <c r="T39" s="569">
        <v>91</v>
      </c>
      <c r="U39" s="569">
        <v>91</v>
      </c>
      <c r="V39" s="569">
        <v>91</v>
      </c>
      <c r="W39" s="569">
        <v>91</v>
      </c>
      <c r="X39" s="569">
        <v>91</v>
      </c>
      <c r="Y39" s="569">
        <v>91</v>
      </c>
      <c r="Z39" s="569">
        <v>91</v>
      </c>
      <c r="AA39" s="569">
        <v>94</v>
      </c>
      <c r="AB39" s="569"/>
      <c r="AC39" s="4">
        <f>SUM(P39:AB39)</f>
        <v>1095</v>
      </c>
      <c r="AD39" s="6">
        <f>AC39*100/O39</f>
        <v>100</v>
      </c>
      <c r="AE39" s="772"/>
    </row>
    <row r="40" spans="1:31" s="572" customFormat="1" ht="11.25" hidden="1">
      <c r="A40" s="568"/>
      <c r="B40" s="574">
        <v>75107</v>
      </c>
      <c r="C40" s="544"/>
      <c r="D40" s="575" t="s">
        <v>964</v>
      </c>
      <c r="E40" s="564">
        <f aca="true" t="shared" si="18" ref="E40:AB40">E41</f>
        <v>0</v>
      </c>
      <c r="F40" s="567">
        <f t="shared" si="18"/>
        <v>0</v>
      </c>
      <c r="G40" s="567">
        <f t="shared" si="18"/>
        <v>0</v>
      </c>
      <c r="H40" s="567">
        <f t="shared" si="18"/>
        <v>0</v>
      </c>
      <c r="I40" s="567">
        <f t="shared" si="18"/>
        <v>0</v>
      </c>
      <c r="J40" s="567">
        <f t="shared" si="18"/>
        <v>0</v>
      </c>
      <c r="K40" s="567">
        <f t="shared" si="18"/>
        <v>0</v>
      </c>
      <c r="L40" s="567">
        <f t="shared" si="18"/>
        <v>0</v>
      </c>
      <c r="M40" s="567">
        <f t="shared" si="18"/>
        <v>0</v>
      </c>
      <c r="N40" s="567">
        <f t="shared" si="18"/>
        <v>0</v>
      </c>
      <c r="O40" s="542">
        <f t="shared" si="18"/>
        <v>0</v>
      </c>
      <c r="P40" s="564">
        <f t="shared" si="18"/>
        <v>0</v>
      </c>
      <c r="Q40" s="564">
        <f t="shared" si="18"/>
        <v>0</v>
      </c>
      <c r="R40" s="564">
        <f t="shared" si="18"/>
        <v>0</v>
      </c>
      <c r="S40" s="564">
        <f t="shared" si="18"/>
        <v>0</v>
      </c>
      <c r="T40" s="564">
        <f t="shared" si="18"/>
        <v>0</v>
      </c>
      <c r="U40" s="564">
        <f t="shared" si="18"/>
        <v>0</v>
      </c>
      <c r="V40" s="564">
        <f t="shared" si="18"/>
        <v>0</v>
      </c>
      <c r="W40" s="564">
        <f t="shared" si="18"/>
        <v>0</v>
      </c>
      <c r="X40" s="564">
        <f t="shared" si="18"/>
        <v>0</v>
      </c>
      <c r="Y40" s="564">
        <f t="shared" si="18"/>
        <v>0</v>
      </c>
      <c r="Z40" s="564">
        <f t="shared" si="18"/>
        <v>0</v>
      </c>
      <c r="AA40" s="564">
        <f t="shared" si="18"/>
        <v>0</v>
      </c>
      <c r="AB40" s="564">
        <f t="shared" si="18"/>
        <v>0</v>
      </c>
      <c r="AC40" s="576">
        <f>AC41</f>
        <v>0</v>
      </c>
      <c r="AD40" s="531" t="e">
        <f t="shared" si="6"/>
        <v>#DIV/0!</v>
      </c>
      <c r="AE40" s="576"/>
    </row>
    <row r="41" spans="1:31" s="572" customFormat="1" ht="53.25" customHeight="1" hidden="1">
      <c r="A41" s="568"/>
      <c r="B41" s="544"/>
      <c r="C41" s="544">
        <v>2010</v>
      </c>
      <c r="D41" s="545" t="s">
        <v>102</v>
      </c>
      <c r="E41" s="569"/>
      <c r="F41" s="571"/>
      <c r="G41" s="571"/>
      <c r="H41" s="571"/>
      <c r="I41" s="571"/>
      <c r="J41" s="571"/>
      <c r="K41" s="571"/>
      <c r="L41" s="571"/>
      <c r="M41" s="571"/>
      <c r="N41" s="571"/>
      <c r="O41" s="537">
        <f>E41+F41+G41+H41+I41+J41+K41</f>
        <v>0</v>
      </c>
      <c r="P41" s="569"/>
      <c r="Q41" s="569"/>
      <c r="R41" s="569"/>
      <c r="S41" s="569"/>
      <c r="T41" s="569"/>
      <c r="U41" s="569"/>
      <c r="V41" s="569"/>
      <c r="W41" s="569"/>
      <c r="X41" s="569"/>
      <c r="Y41" s="569"/>
      <c r="Z41" s="569"/>
      <c r="AA41" s="569"/>
      <c r="AB41" s="569"/>
      <c r="AC41" s="6">
        <f>SUM(P41:AA41)</f>
        <v>0</v>
      </c>
      <c r="AD41" s="6" t="e">
        <f>AC41*100/O41</f>
        <v>#DIV/0!</v>
      </c>
      <c r="AE41" s="6"/>
    </row>
    <row r="42" spans="1:31" s="572" customFormat="1" ht="21">
      <c r="A42" s="568"/>
      <c r="B42" s="574">
        <v>75108</v>
      </c>
      <c r="C42" s="544"/>
      <c r="D42" s="575" t="s">
        <v>965</v>
      </c>
      <c r="E42" s="564">
        <f aca="true" t="shared" si="19" ref="E42:AB42">E43</f>
        <v>0</v>
      </c>
      <c r="F42" s="567">
        <f t="shared" si="19"/>
        <v>0</v>
      </c>
      <c r="G42" s="567">
        <f t="shared" si="19"/>
        <v>0</v>
      </c>
      <c r="H42" s="567">
        <f t="shared" si="19"/>
        <v>0</v>
      </c>
      <c r="I42" s="567">
        <f t="shared" si="19"/>
        <v>0</v>
      </c>
      <c r="J42" s="567">
        <f t="shared" si="19"/>
        <v>0</v>
      </c>
      <c r="K42" s="567">
        <f t="shared" si="19"/>
        <v>1990</v>
      </c>
      <c r="L42" s="567">
        <f t="shared" si="19"/>
        <v>8975</v>
      </c>
      <c r="M42" s="567">
        <f t="shared" si="19"/>
        <v>0</v>
      </c>
      <c r="N42" s="567">
        <f t="shared" si="19"/>
        <v>0</v>
      </c>
      <c r="O42" s="542">
        <f t="shared" si="19"/>
        <v>10965</v>
      </c>
      <c r="P42" s="564">
        <f t="shared" si="19"/>
        <v>0</v>
      </c>
      <c r="Q42" s="564">
        <f t="shared" si="19"/>
        <v>0</v>
      </c>
      <c r="R42" s="564">
        <f t="shared" si="19"/>
        <v>0</v>
      </c>
      <c r="S42" s="564">
        <f t="shared" si="19"/>
        <v>0</v>
      </c>
      <c r="T42" s="564">
        <f t="shared" si="19"/>
        <v>0</v>
      </c>
      <c r="U42" s="564">
        <f t="shared" si="19"/>
        <v>0</v>
      </c>
      <c r="V42" s="564">
        <f t="shared" si="19"/>
        <v>0</v>
      </c>
      <c r="W42" s="564">
        <f t="shared" si="19"/>
        <v>0</v>
      </c>
      <c r="X42" s="564">
        <f t="shared" si="19"/>
        <v>0</v>
      </c>
      <c r="Y42" s="564">
        <f t="shared" si="19"/>
        <v>10965</v>
      </c>
      <c r="Z42" s="564">
        <f t="shared" si="19"/>
        <v>0</v>
      </c>
      <c r="AA42" s="564">
        <f t="shared" si="19"/>
        <v>0</v>
      </c>
      <c r="AB42" s="564">
        <f t="shared" si="19"/>
        <v>0</v>
      </c>
      <c r="AC42" s="576">
        <f>AC43</f>
        <v>10965</v>
      </c>
      <c r="AD42" s="531">
        <f t="shared" si="6"/>
        <v>100</v>
      </c>
      <c r="AE42" s="576"/>
    </row>
    <row r="43" spans="1:31" s="572" customFormat="1" ht="90">
      <c r="A43" s="568"/>
      <c r="B43" s="544"/>
      <c r="C43" s="544">
        <v>2010</v>
      </c>
      <c r="D43" s="545" t="s">
        <v>102</v>
      </c>
      <c r="E43" s="569"/>
      <c r="F43" s="571"/>
      <c r="G43" s="571"/>
      <c r="H43" s="571"/>
      <c r="I43" s="571"/>
      <c r="J43" s="571"/>
      <c r="K43" s="571">
        <v>1990</v>
      </c>
      <c r="L43" s="571">
        <f>4025+4950</f>
        <v>8975</v>
      </c>
      <c r="M43" s="571"/>
      <c r="N43" s="571"/>
      <c r="O43" s="537">
        <f>E43+F43+G43+H43+I43+J43+K43+L43+M43+N43</f>
        <v>10965</v>
      </c>
      <c r="P43" s="569"/>
      <c r="Q43" s="569"/>
      <c r="R43" s="569"/>
      <c r="S43" s="569"/>
      <c r="T43" s="569"/>
      <c r="U43" s="569"/>
      <c r="V43" s="569"/>
      <c r="W43" s="569"/>
      <c r="X43" s="569"/>
      <c r="Y43" s="569">
        <v>10965</v>
      </c>
      <c r="Z43" s="569"/>
      <c r="AA43" s="569"/>
      <c r="AB43" s="569"/>
      <c r="AC43" s="4">
        <f>SUM(P43:AB43)</f>
        <v>10965</v>
      </c>
      <c r="AD43" s="6">
        <f>AC43*100/O43</f>
        <v>100</v>
      </c>
      <c r="AE43" s="4" t="s">
        <v>486</v>
      </c>
    </row>
    <row r="44" spans="1:31" s="514" customFormat="1" ht="31.5">
      <c r="A44" s="565">
        <v>754</v>
      </c>
      <c r="B44" s="565"/>
      <c r="C44" s="565"/>
      <c r="D44" s="548" t="s">
        <v>966</v>
      </c>
      <c r="E44" s="549">
        <f aca="true" t="shared" si="20" ref="E44:AB44">E45</f>
        <v>2500</v>
      </c>
      <c r="F44" s="551">
        <f t="shared" si="20"/>
        <v>0</v>
      </c>
      <c r="G44" s="551">
        <f t="shared" si="20"/>
        <v>0</v>
      </c>
      <c r="H44" s="551">
        <f t="shared" si="20"/>
        <v>0</v>
      </c>
      <c r="I44" s="551">
        <f t="shared" si="20"/>
        <v>0</v>
      </c>
      <c r="J44" s="551">
        <f t="shared" si="20"/>
        <v>0</v>
      </c>
      <c r="K44" s="551">
        <f t="shared" si="20"/>
        <v>0</v>
      </c>
      <c r="L44" s="551">
        <f t="shared" si="20"/>
        <v>0</v>
      </c>
      <c r="M44" s="551">
        <f t="shared" si="20"/>
        <v>0</v>
      </c>
      <c r="N44" s="551">
        <f t="shared" si="20"/>
        <v>0</v>
      </c>
      <c r="O44" s="549">
        <f t="shared" si="20"/>
        <v>2500</v>
      </c>
      <c r="P44" s="549">
        <f t="shared" si="20"/>
        <v>0</v>
      </c>
      <c r="Q44" s="549">
        <f t="shared" si="20"/>
        <v>0</v>
      </c>
      <c r="R44" s="549">
        <f t="shared" si="20"/>
        <v>0</v>
      </c>
      <c r="S44" s="549">
        <f t="shared" si="20"/>
        <v>2500</v>
      </c>
      <c r="T44" s="549">
        <f t="shared" si="20"/>
        <v>0</v>
      </c>
      <c r="U44" s="549">
        <f t="shared" si="20"/>
        <v>0</v>
      </c>
      <c r="V44" s="549">
        <f t="shared" si="20"/>
        <v>0</v>
      </c>
      <c r="W44" s="549">
        <f t="shared" si="20"/>
        <v>0</v>
      </c>
      <c r="X44" s="549">
        <f t="shared" si="20"/>
        <v>0</v>
      </c>
      <c r="Y44" s="549">
        <f t="shared" si="20"/>
        <v>0</v>
      </c>
      <c r="Z44" s="549">
        <f t="shared" si="20"/>
        <v>0</v>
      </c>
      <c r="AA44" s="549">
        <f t="shared" si="20"/>
        <v>0</v>
      </c>
      <c r="AB44" s="549">
        <f t="shared" si="20"/>
        <v>0</v>
      </c>
      <c r="AC44" s="549">
        <f>AC45</f>
        <v>2500</v>
      </c>
      <c r="AD44" s="3">
        <f t="shared" si="6"/>
        <v>100</v>
      </c>
      <c r="AE44" s="549"/>
    </row>
    <row r="45" spans="1:31" s="514" customFormat="1" ht="53.25" customHeight="1">
      <c r="A45" s="509"/>
      <c r="B45" s="509">
        <v>75414</v>
      </c>
      <c r="C45" s="509"/>
      <c r="D45" s="510" t="s">
        <v>967</v>
      </c>
      <c r="E45" s="552">
        <f aca="true" t="shared" si="21" ref="E45:AB45">SUM(E46)</f>
        <v>2500</v>
      </c>
      <c r="F45" s="554">
        <f t="shared" si="21"/>
        <v>0</v>
      </c>
      <c r="G45" s="554">
        <f t="shared" si="21"/>
        <v>0</v>
      </c>
      <c r="H45" s="554">
        <f t="shared" si="21"/>
        <v>0</v>
      </c>
      <c r="I45" s="554">
        <f t="shared" si="21"/>
        <v>0</v>
      </c>
      <c r="J45" s="554">
        <f t="shared" si="21"/>
        <v>0</v>
      </c>
      <c r="K45" s="554">
        <f t="shared" si="21"/>
        <v>0</v>
      </c>
      <c r="L45" s="554">
        <f t="shared" si="21"/>
        <v>0</v>
      </c>
      <c r="M45" s="554">
        <f t="shared" si="21"/>
        <v>0</v>
      </c>
      <c r="N45" s="554">
        <f t="shared" si="21"/>
        <v>0</v>
      </c>
      <c r="O45" s="555">
        <f t="shared" si="21"/>
        <v>2500</v>
      </c>
      <c r="P45" s="552">
        <f t="shared" si="21"/>
        <v>0</v>
      </c>
      <c r="Q45" s="552">
        <f t="shared" si="21"/>
        <v>0</v>
      </c>
      <c r="R45" s="552">
        <f t="shared" si="21"/>
        <v>0</v>
      </c>
      <c r="S45" s="552">
        <f t="shared" si="21"/>
        <v>2500</v>
      </c>
      <c r="T45" s="552">
        <f t="shared" si="21"/>
        <v>0</v>
      </c>
      <c r="U45" s="552">
        <f t="shared" si="21"/>
        <v>0</v>
      </c>
      <c r="V45" s="552">
        <f t="shared" si="21"/>
        <v>0</v>
      </c>
      <c r="W45" s="552">
        <f t="shared" si="21"/>
        <v>0</v>
      </c>
      <c r="X45" s="552">
        <f t="shared" si="21"/>
        <v>0</v>
      </c>
      <c r="Y45" s="552">
        <f t="shared" si="21"/>
        <v>0</v>
      </c>
      <c r="Z45" s="552">
        <f t="shared" si="21"/>
        <v>0</v>
      </c>
      <c r="AA45" s="552">
        <f t="shared" si="21"/>
        <v>0</v>
      </c>
      <c r="AB45" s="552">
        <f t="shared" si="21"/>
        <v>0</v>
      </c>
      <c r="AC45" s="552">
        <f>SUM(AC46)</f>
        <v>2500</v>
      </c>
      <c r="AD45" s="13">
        <f t="shared" si="6"/>
        <v>100</v>
      </c>
      <c r="AE45" s="769" t="s">
        <v>488</v>
      </c>
    </row>
    <row r="46" spans="1:31" s="572" customFormat="1" ht="67.5">
      <c r="A46" s="568"/>
      <c r="B46" s="544"/>
      <c r="C46" s="544">
        <v>2010</v>
      </c>
      <c r="D46" s="545" t="s">
        <v>102</v>
      </c>
      <c r="E46" s="569">
        <v>2500</v>
      </c>
      <c r="F46" s="571"/>
      <c r="G46" s="571"/>
      <c r="H46" s="571"/>
      <c r="I46" s="571"/>
      <c r="J46" s="571"/>
      <c r="K46" s="571"/>
      <c r="L46" s="571"/>
      <c r="M46" s="571"/>
      <c r="N46" s="571"/>
      <c r="O46" s="537">
        <f>E46+F46+G46+H46+I46+J46+K46+L46+M46+N46</f>
        <v>2500</v>
      </c>
      <c r="P46" s="569"/>
      <c r="Q46" s="569"/>
      <c r="R46" s="569"/>
      <c r="S46" s="569">
        <v>2500</v>
      </c>
      <c r="T46" s="569"/>
      <c r="U46" s="569"/>
      <c r="V46" s="569"/>
      <c r="W46" s="569"/>
      <c r="X46" s="569"/>
      <c r="Y46" s="569"/>
      <c r="Z46" s="569"/>
      <c r="AA46" s="569"/>
      <c r="AB46" s="569"/>
      <c r="AC46" s="4">
        <f>SUM(P46:AB46)</f>
        <v>2500</v>
      </c>
      <c r="AD46" s="6">
        <f t="shared" si="6"/>
        <v>100</v>
      </c>
      <c r="AE46" s="770"/>
    </row>
    <row r="47" spans="1:31" s="514" customFormat="1" ht="71.25" customHeight="1">
      <c r="A47" s="565">
        <v>756</v>
      </c>
      <c r="B47" s="565"/>
      <c r="C47" s="565"/>
      <c r="D47" s="548" t="s">
        <v>1041</v>
      </c>
      <c r="E47" s="549">
        <f>E48+E58+E69+E75+E51</f>
        <v>7318492</v>
      </c>
      <c r="F47" s="551">
        <f aca="true" t="shared" si="22" ref="F47:O47">F48+F58+F69+F75+F51</f>
        <v>251792</v>
      </c>
      <c r="G47" s="551">
        <f t="shared" si="22"/>
        <v>30000</v>
      </c>
      <c r="H47" s="551">
        <f t="shared" si="22"/>
        <v>92900</v>
      </c>
      <c r="I47" s="551">
        <f t="shared" si="22"/>
        <v>94775</v>
      </c>
      <c r="J47" s="551">
        <f t="shared" si="22"/>
        <v>0</v>
      </c>
      <c r="K47" s="551">
        <f t="shared" si="22"/>
        <v>55000</v>
      </c>
      <c r="L47" s="550">
        <f>L48+L58+L69+L75+L51</f>
        <v>189850</v>
      </c>
      <c r="M47" s="551">
        <f>M48+M58+M69+M75+M51</f>
        <v>282756</v>
      </c>
      <c r="N47" s="550">
        <f>N48+N58+N69+N75+N51</f>
        <v>-155196</v>
      </c>
      <c r="O47" s="549">
        <f t="shared" si="22"/>
        <v>8160369</v>
      </c>
      <c r="P47" s="549">
        <f>P48+P58+P69+P75+P51</f>
        <v>339966.1</v>
      </c>
      <c r="Q47" s="549">
        <f>Q48+Q58+Q69+Q75+Q51</f>
        <v>491133.47</v>
      </c>
      <c r="R47" s="549">
        <f aca="true" t="shared" si="23" ref="R47:AA47">R48+R58+R69+R75+R51</f>
        <v>993428.2900000002</v>
      </c>
      <c r="S47" s="549">
        <f t="shared" si="23"/>
        <v>586386.22</v>
      </c>
      <c r="T47" s="549">
        <f>T48+T58+T69+T75+T51</f>
        <v>981062.33</v>
      </c>
      <c r="U47" s="549">
        <f>U48+U58+U69+U75+U51</f>
        <v>433778.33</v>
      </c>
      <c r="V47" s="549">
        <f t="shared" si="23"/>
        <v>544967.64</v>
      </c>
      <c r="W47" s="549">
        <f t="shared" si="23"/>
        <v>453143.33999999997</v>
      </c>
      <c r="X47" s="549">
        <f t="shared" si="23"/>
        <v>968686.87</v>
      </c>
      <c r="Y47" s="549">
        <f t="shared" si="23"/>
        <v>714303.3600000001</v>
      </c>
      <c r="Z47" s="549">
        <f>Z48+Z58+Z69+Z75+Z51</f>
        <v>883705.5700000001</v>
      </c>
      <c r="AA47" s="549">
        <f t="shared" si="23"/>
        <v>752505.9</v>
      </c>
      <c r="AB47" s="549">
        <f>AB48+AB58+AB69+AB75+AB51</f>
        <v>345085.24</v>
      </c>
      <c r="AC47" s="549">
        <f>AC48+AC58+AC69+AC75+AC51</f>
        <v>8488152.66</v>
      </c>
      <c r="AD47" s="3">
        <f t="shared" si="6"/>
        <v>104.0167749767198</v>
      </c>
      <c r="AE47" s="549"/>
    </row>
    <row r="48" spans="1:31" s="572" customFormat="1" ht="31.5">
      <c r="A48" s="568"/>
      <c r="B48" s="568">
        <v>75601</v>
      </c>
      <c r="C48" s="568"/>
      <c r="D48" s="573" t="s">
        <v>1042</v>
      </c>
      <c r="E48" s="564">
        <f>E49+E50</f>
        <v>7100</v>
      </c>
      <c r="F48" s="567">
        <f aca="true" t="shared" si="24" ref="F48:K48">F49+F50</f>
        <v>0</v>
      </c>
      <c r="G48" s="567">
        <f t="shared" si="24"/>
        <v>0</v>
      </c>
      <c r="H48" s="567">
        <f t="shared" si="24"/>
        <v>0</v>
      </c>
      <c r="I48" s="566">
        <f t="shared" si="24"/>
        <v>-3225</v>
      </c>
      <c r="J48" s="567">
        <f t="shared" si="24"/>
        <v>0</v>
      </c>
      <c r="K48" s="567">
        <f t="shared" si="24"/>
        <v>0</v>
      </c>
      <c r="L48" s="567">
        <f>L49+L50</f>
        <v>0</v>
      </c>
      <c r="M48" s="567">
        <f>M49+M50</f>
        <v>2600</v>
      </c>
      <c r="N48" s="567">
        <f>N49+N50</f>
        <v>0</v>
      </c>
      <c r="O48" s="555">
        <f>SUM(O49:O50)</f>
        <v>6475</v>
      </c>
      <c r="P48" s="564">
        <f aca="true" t="shared" si="25" ref="P48:AA48">P49+P50</f>
        <v>657</v>
      </c>
      <c r="Q48" s="564">
        <f t="shared" si="25"/>
        <v>69</v>
      </c>
      <c r="R48" s="564">
        <f t="shared" si="25"/>
        <v>175.3</v>
      </c>
      <c r="S48" s="564">
        <f t="shared" si="25"/>
        <v>284.3</v>
      </c>
      <c r="T48" s="564">
        <f t="shared" si="25"/>
        <v>180</v>
      </c>
      <c r="U48" s="564">
        <f t="shared" si="25"/>
        <v>179.75</v>
      </c>
      <c r="V48" s="564">
        <f t="shared" si="25"/>
        <v>165</v>
      </c>
      <c r="W48" s="564">
        <f t="shared" si="25"/>
        <v>168.5</v>
      </c>
      <c r="X48" s="564">
        <f t="shared" si="25"/>
        <v>166.12</v>
      </c>
      <c r="Y48" s="564">
        <f t="shared" si="25"/>
        <v>4154</v>
      </c>
      <c r="Z48" s="564">
        <f t="shared" si="25"/>
        <v>690</v>
      </c>
      <c r="AA48" s="564">
        <f t="shared" si="25"/>
        <v>1323.2</v>
      </c>
      <c r="AB48" s="564">
        <f>AB49+AB50</f>
        <v>102</v>
      </c>
      <c r="AC48" s="564">
        <f>AC49+AC50</f>
        <v>8314.17</v>
      </c>
      <c r="AD48" s="13">
        <f t="shared" si="6"/>
        <v>128.40416988416987</v>
      </c>
      <c r="AE48" s="564"/>
    </row>
    <row r="49" spans="1:31" s="514" customFormat="1" ht="45">
      <c r="A49" s="509"/>
      <c r="B49" s="142"/>
      <c r="C49" s="533" t="s">
        <v>1043</v>
      </c>
      <c r="D49" s="10" t="s">
        <v>1044</v>
      </c>
      <c r="E49" s="556">
        <v>7000</v>
      </c>
      <c r="F49" s="558"/>
      <c r="G49" s="558"/>
      <c r="H49" s="558"/>
      <c r="I49" s="557">
        <v>-3225</v>
      </c>
      <c r="J49" s="558"/>
      <c r="K49" s="558"/>
      <c r="L49" s="558"/>
      <c r="M49" s="558">
        <v>2500</v>
      </c>
      <c r="N49" s="558"/>
      <c r="O49" s="537">
        <f aca="true" t="shared" si="26" ref="O49:O77">E49+F49+G49+H49+I49+J49+K49+L49+M49+N49</f>
        <v>6275</v>
      </c>
      <c r="P49" s="556">
        <v>657</v>
      </c>
      <c r="Q49" s="556">
        <v>69</v>
      </c>
      <c r="R49" s="556">
        <v>183.3</v>
      </c>
      <c r="S49" s="556">
        <v>284.3</v>
      </c>
      <c r="T49" s="556">
        <v>180</v>
      </c>
      <c r="U49" s="556">
        <v>179.75</v>
      </c>
      <c r="V49" s="556">
        <v>165</v>
      </c>
      <c r="W49" s="556">
        <v>168.5</v>
      </c>
      <c r="X49" s="556">
        <v>166</v>
      </c>
      <c r="Y49" s="556">
        <v>3966.9</v>
      </c>
      <c r="Z49" s="556">
        <v>680</v>
      </c>
      <c r="AA49" s="556">
        <v>1304</v>
      </c>
      <c r="AB49" s="556">
        <v>102</v>
      </c>
      <c r="AC49" s="4">
        <f>SUM(P49:AB49)</f>
        <v>8105.75</v>
      </c>
      <c r="AD49" s="6">
        <f t="shared" si="6"/>
        <v>129.17529880478088</v>
      </c>
      <c r="AE49" s="2" t="s">
        <v>1045</v>
      </c>
    </row>
    <row r="50" spans="1:31" s="514" customFormat="1" ht="45">
      <c r="A50" s="509"/>
      <c r="B50" s="142"/>
      <c r="C50" s="533" t="s">
        <v>119</v>
      </c>
      <c r="D50" s="10" t="s">
        <v>120</v>
      </c>
      <c r="E50" s="556">
        <v>100</v>
      </c>
      <c r="F50" s="558"/>
      <c r="G50" s="558"/>
      <c r="H50" s="558"/>
      <c r="I50" s="558"/>
      <c r="J50" s="558"/>
      <c r="K50" s="558"/>
      <c r="L50" s="558"/>
      <c r="M50" s="558">
        <v>100</v>
      </c>
      <c r="N50" s="558"/>
      <c r="O50" s="537">
        <f t="shared" si="26"/>
        <v>200</v>
      </c>
      <c r="P50" s="556"/>
      <c r="Q50" s="556"/>
      <c r="R50" s="556">
        <v>-8</v>
      </c>
      <c r="S50" s="556"/>
      <c r="T50" s="556"/>
      <c r="U50" s="556"/>
      <c r="V50" s="556"/>
      <c r="W50" s="556"/>
      <c r="X50" s="556">
        <v>0.12</v>
      </c>
      <c r="Y50" s="556">
        <v>187.1</v>
      </c>
      <c r="Z50" s="556">
        <v>10</v>
      </c>
      <c r="AA50" s="556">
        <v>19.2</v>
      </c>
      <c r="AB50" s="556"/>
      <c r="AC50" s="4">
        <f>SUM(P50:AB50)</f>
        <v>208.42</v>
      </c>
      <c r="AD50" s="6">
        <f t="shared" si="6"/>
        <v>104.21</v>
      </c>
      <c r="AE50" s="2" t="s">
        <v>1046</v>
      </c>
    </row>
    <row r="51" spans="1:31" s="514" customFormat="1" ht="69" customHeight="1">
      <c r="A51" s="509"/>
      <c r="B51" s="509">
        <v>75615</v>
      </c>
      <c r="C51" s="509"/>
      <c r="D51" s="510" t="s">
        <v>1047</v>
      </c>
      <c r="E51" s="552">
        <f>SUM(E52:E57)</f>
        <v>2114434</v>
      </c>
      <c r="F51" s="553">
        <f aca="true" t="shared" si="27" ref="F51:AA51">SUM(F52:F57)</f>
        <v>-24016</v>
      </c>
      <c r="G51" s="554">
        <f t="shared" si="27"/>
        <v>0</v>
      </c>
      <c r="H51" s="553">
        <f t="shared" si="27"/>
        <v>-1000</v>
      </c>
      <c r="I51" s="553">
        <f t="shared" si="27"/>
        <v>-2000</v>
      </c>
      <c r="J51" s="554">
        <f t="shared" si="27"/>
        <v>0</v>
      </c>
      <c r="K51" s="554">
        <f t="shared" si="27"/>
        <v>4500</v>
      </c>
      <c r="L51" s="553">
        <f>SUM(L52:L57)</f>
        <v>-6823</v>
      </c>
      <c r="M51" s="554">
        <f>SUM(M52:M57)</f>
        <v>0</v>
      </c>
      <c r="N51" s="553">
        <f>SUM(N52:N57)</f>
        <v>-3796</v>
      </c>
      <c r="O51" s="542">
        <f t="shared" si="27"/>
        <v>2081299</v>
      </c>
      <c r="P51" s="552">
        <f t="shared" si="27"/>
        <v>230549.5</v>
      </c>
      <c r="Q51" s="552">
        <f t="shared" si="27"/>
        <v>159521.53999999998</v>
      </c>
      <c r="R51" s="552">
        <f t="shared" si="27"/>
        <v>227425.78</v>
      </c>
      <c r="S51" s="552">
        <f t="shared" si="27"/>
        <v>154058.69</v>
      </c>
      <c r="T51" s="552">
        <f>SUM(T52:T57)</f>
        <v>211617.87</v>
      </c>
      <c r="U51" s="552">
        <f t="shared" si="27"/>
        <v>133859.63</v>
      </c>
      <c r="V51" s="552">
        <f t="shared" si="27"/>
        <v>143330.62000000002</v>
      </c>
      <c r="W51" s="552">
        <f t="shared" si="27"/>
        <v>175018.03</v>
      </c>
      <c r="X51" s="552">
        <f t="shared" si="27"/>
        <v>215291.73</v>
      </c>
      <c r="Y51" s="552">
        <f t="shared" si="27"/>
        <v>153198.33000000002</v>
      </c>
      <c r="Z51" s="552">
        <f t="shared" si="27"/>
        <v>277912.78</v>
      </c>
      <c r="AA51" s="552">
        <f t="shared" si="27"/>
        <v>135059.28000000003</v>
      </c>
      <c r="AB51" s="552">
        <f>SUM(AB52:AB57)</f>
        <v>0</v>
      </c>
      <c r="AC51" s="12">
        <f>SUM(AC52:AC57)</f>
        <v>2216843.7800000003</v>
      </c>
      <c r="AD51" s="13">
        <f t="shared" si="6"/>
        <v>106.5125087745682</v>
      </c>
      <c r="AE51" s="12"/>
    </row>
    <row r="52" spans="1:31" s="514" customFormat="1" ht="22.5">
      <c r="A52" s="509"/>
      <c r="B52" s="142"/>
      <c r="C52" s="533" t="s">
        <v>1048</v>
      </c>
      <c r="D52" s="10" t="s">
        <v>1105</v>
      </c>
      <c r="E52" s="556">
        <v>1680675</v>
      </c>
      <c r="F52" s="558">
        <v>11810</v>
      </c>
      <c r="G52" s="558"/>
      <c r="H52" s="558"/>
      <c r="I52" s="558"/>
      <c r="J52" s="558"/>
      <c r="K52" s="558"/>
      <c r="L52" s="558"/>
      <c r="M52" s="558"/>
      <c r="N52" s="558"/>
      <c r="O52" s="537">
        <f t="shared" si="26"/>
        <v>1692485</v>
      </c>
      <c r="P52" s="556">
        <v>223634.4</v>
      </c>
      <c r="Q52" s="556">
        <v>142670.74</v>
      </c>
      <c r="R52" s="556">
        <v>144127.59</v>
      </c>
      <c r="S52" s="556">
        <v>149360.63</v>
      </c>
      <c r="T52" s="556">
        <f>147401.37-42</f>
        <v>147359.37</v>
      </c>
      <c r="U52" s="556">
        <v>131331.63</v>
      </c>
      <c r="V52" s="556">
        <v>127356.63</v>
      </c>
      <c r="W52" s="556">
        <v>170105.83</v>
      </c>
      <c r="X52" s="556">
        <v>133377.73</v>
      </c>
      <c r="Y52" s="556">
        <v>147860.48</v>
      </c>
      <c r="Z52" s="556">
        <v>147451.68</v>
      </c>
      <c r="AA52" s="556">
        <v>119203.88</v>
      </c>
      <c r="AB52" s="556"/>
      <c r="AC52" s="4">
        <f aca="true" t="shared" si="28" ref="AC52:AC57">SUM(P52:AB52)</f>
        <v>1783840.5899999999</v>
      </c>
      <c r="AD52" s="6">
        <f t="shared" si="6"/>
        <v>105.39771932986112</v>
      </c>
      <c r="AE52" s="5" t="s">
        <v>489</v>
      </c>
    </row>
    <row r="53" spans="1:31" s="514" customFormat="1" ht="22.5">
      <c r="A53" s="509"/>
      <c r="B53" s="142"/>
      <c r="C53" s="533" t="s">
        <v>1106</v>
      </c>
      <c r="D53" s="10" t="s">
        <v>1107</v>
      </c>
      <c r="E53" s="556">
        <v>360374</v>
      </c>
      <c r="F53" s="557">
        <f>-30548-7876</f>
        <v>-38424</v>
      </c>
      <c r="G53" s="558"/>
      <c r="H53" s="558"/>
      <c r="I53" s="558"/>
      <c r="J53" s="558"/>
      <c r="K53" s="558"/>
      <c r="L53" s="558"/>
      <c r="M53" s="558"/>
      <c r="N53" s="558"/>
      <c r="O53" s="537">
        <f t="shared" si="26"/>
        <v>321950</v>
      </c>
      <c r="P53" s="556">
        <v>296.8</v>
      </c>
      <c r="Q53" s="556">
        <v>367</v>
      </c>
      <c r="R53" s="556">
        <v>79873.09</v>
      </c>
      <c r="S53" s="556">
        <v>229.96</v>
      </c>
      <c r="T53" s="556">
        <v>61517.5</v>
      </c>
      <c r="U53" s="556"/>
      <c r="V53" s="556">
        <v>12861.29</v>
      </c>
      <c r="W53" s="556">
        <v>95.2</v>
      </c>
      <c r="X53" s="556">
        <v>72973</v>
      </c>
      <c r="Y53" s="556">
        <v>0.25</v>
      </c>
      <c r="Z53" s="556">
        <v>124237.2</v>
      </c>
      <c r="AA53" s="556">
        <v>13221.2</v>
      </c>
      <c r="AB53" s="556"/>
      <c r="AC53" s="4">
        <f t="shared" si="28"/>
        <v>365672.49000000005</v>
      </c>
      <c r="AD53" s="6">
        <f t="shared" si="6"/>
        <v>113.58052182015844</v>
      </c>
      <c r="AE53" s="5" t="s">
        <v>490</v>
      </c>
    </row>
    <row r="54" spans="1:31" s="514" customFormat="1" ht="11.25">
      <c r="A54" s="509"/>
      <c r="B54" s="142"/>
      <c r="C54" s="533" t="s">
        <v>1108</v>
      </c>
      <c r="D54" s="10" t="s">
        <v>1109</v>
      </c>
      <c r="E54" s="556">
        <v>30385</v>
      </c>
      <c r="F54" s="558">
        <v>598</v>
      </c>
      <c r="G54" s="558"/>
      <c r="H54" s="558"/>
      <c r="I54" s="558"/>
      <c r="J54" s="558"/>
      <c r="K54" s="558"/>
      <c r="L54" s="558"/>
      <c r="M54" s="558"/>
      <c r="N54" s="558"/>
      <c r="O54" s="537">
        <f t="shared" si="26"/>
        <v>30983</v>
      </c>
      <c r="P54" s="556">
        <v>2855.7</v>
      </c>
      <c r="Q54" s="556">
        <v>2528.8</v>
      </c>
      <c r="R54" s="556">
        <v>2528</v>
      </c>
      <c r="S54" s="556">
        <v>2528</v>
      </c>
      <c r="T54" s="556">
        <v>2528</v>
      </c>
      <c r="U54" s="556">
        <v>2528</v>
      </c>
      <c r="V54" s="556">
        <v>2528</v>
      </c>
      <c r="W54" s="556">
        <v>2528</v>
      </c>
      <c r="X54" s="556">
        <v>2856</v>
      </c>
      <c r="Y54" s="556">
        <v>2528</v>
      </c>
      <c r="Z54" s="556">
        <v>2528</v>
      </c>
      <c r="AA54" s="556">
        <v>2518</v>
      </c>
      <c r="AB54" s="556"/>
      <c r="AC54" s="4">
        <f t="shared" si="28"/>
        <v>30982.5</v>
      </c>
      <c r="AD54" s="6">
        <f t="shared" si="6"/>
        <v>99.99838621179356</v>
      </c>
      <c r="AE54" s="5" t="s">
        <v>491</v>
      </c>
    </row>
    <row r="55" spans="1:31" s="514" customFormat="1" ht="33.75">
      <c r="A55" s="509"/>
      <c r="B55" s="142"/>
      <c r="C55" s="533" t="s">
        <v>1110</v>
      </c>
      <c r="D55" s="10" t="s">
        <v>1111</v>
      </c>
      <c r="E55" s="556">
        <v>35000</v>
      </c>
      <c r="F55" s="558"/>
      <c r="G55" s="558"/>
      <c r="H55" s="558"/>
      <c r="I55" s="558"/>
      <c r="J55" s="558"/>
      <c r="K55" s="558"/>
      <c r="L55" s="557">
        <v>-6823</v>
      </c>
      <c r="M55" s="558"/>
      <c r="N55" s="557">
        <v>-5000</v>
      </c>
      <c r="O55" s="537">
        <f t="shared" si="26"/>
        <v>23177</v>
      </c>
      <c r="P55" s="556"/>
      <c r="Q55" s="556">
        <v>13955</v>
      </c>
      <c r="R55" s="556"/>
      <c r="S55" s="556">
        <v>1375</v>
      </c>
      <c r="T55" s="556"/>
      <c r="U55" s="556"/>
      <c r="V55" s="556"/>
      <c r="W55" s="556">
        <v>-1890</v>
      </c>
      <c r="X55" s="556">
        <v>6035</v>
      </c>
      <c r="Y55" s="556">
        <v>2635</v>
      </c>
      <c r="Z55" s="556">
        <v>392</v>
      </c>
      <c r="AA55" s="556"/>
      <c r="AB55" s="556"/>
      <c r="AC55" s="4">
        <f t="shared" si="28"/>
        <v>22502</v>
      </c>
      <c r="AD55" s="6">
        <f t="shared" si="6"/>
        <v>97.08762997799542</v>
      </c>
      <c r="AE55" s="5" t="s">
        <v>492</v>
      </c>
    </row>
    <row r="56" spans="1:31" s="514" customFormat="1" ht="22.5">
      <c r="A56" s="509"/>
      <c r="B56" s="142"/>
      <c r="C56" s="533" t="s">
        <v>1112</v>
      </c>
      <c r="D56" s="10" t="s">
        <v>1113</v>
      </c>
      <c r="E56" s="556">
        <v>5000</v>
      </c>
      <c r="F56" s="558"/>
      <c r="G56" s="558"/>
      <c r="H56" s="557">
        <v>-2000</v>
      </c>
      <c r="I56" s="557">
        <v>-2000</v>
      </c>
      <c r="J56" s="558"/>
      <c r="K56" s="558">
        <v>3500</v>
      </c>
      <c r="L56" s="558"/>
      <c r="M56" s="558"/>
      <c r="N56" s="558"/>
      <c r="O56" s="537">
        <f t="shared" si="26"/>
        <v>4500</v>
      </c>
      <c r="P56" s="556"/>
      <c r="Q56" s="556"/>
      <c r="R56" s="556">
        <v>124</v>
      </c>
      <c r="S56" s="556">
        <v>370</v>
      </c>
      <c r="T56" s="556"/>
      <c r="U56" s="556"/>
      <c r="V56" s="556">
        <v>75</v>
      </c>
      <c r="W56" s="556">
        <v>3779</v>
      </c>
      <c r="X56" s="556">
        <v>50</v>
      </c>
      <c r="Y56" s="556">
        <v>80</v>
      </c>
      <c r="Z56" s="556"/>
      <c r="AA56" s="556"/>
      <c r="AB56" s="556"/>
      <c r="AC56" s="4">
        <f t="shared" si="28"/>
        <v>4478</v>
      </c>
      <c r="AD56" s="6">
        <f t="shared" si="6"/>
        <v>99.5111111111111</v>
      </c>
      <c r="AE56" s="4" t="s">
        <v>1114</v>
      </c>
    </row>
    <row r="57" spans="1:31" s="514" customFormat="1" ht="45">
      <c r="A57" s="509"/>
      <c r="B57" s="142"/>
      <c r="C57" s="533" t="s">
        <v>119</v>
      </c>
      <c r="D57" s="10" t="s">
        <v>120</v>
      </c>
      <c r="E57" s="556">
        <v>3000</v>
      </c>
      <c r="F57" s="558">
        <v>2000</v>
      </c>
      <c r="G57" s="558"/>
      <c r="H57" s="558">
        <v>1000</v>
      </c>
      <c r="I57" s="558"/>
      <c r="J57" s="558"/>
      <c r="K57" s="558">
        <v>1000</v>
      </c>
      <c r="L57" s="558"/>
      <c r="M57" s="558"/>
      <c r="N57" s="558">
        <f>2500-1356+60</f>
        <v>1204</v>
      </c>
      <c r="O57" s="537">
        <f t="shared" si="26"/>
        <v>8204</v>
      </c>
      <c r="P57" s="556">
        <f>3745+17.6</f>
        <v>3762.6</v>
      </c>
      <c r="Q57" s="556"/>
      <c r="R57" s="556">
        <f>755.5+17.6</f>
        <v>773.1</v>
      </c>
      <c r="S57" s="556">
        <f>108+69.5+17.6</f>
        <v>195.1</v>
      </c>
      <c r="T57" s="556">
        <f>171+42</f>
        <v>213</v>
      </c>
      <c r="U57" s="556"/>
      <c r="V57" s="556">
        <f>492.1+17.6</f>
        <v>509.70000000000005</v>
      </c>
      <c r="W57" s="556">
        <v>400</v>
      </c>
      <c r="X57" s="556"/>
      <c r="Y57" s="556">
        <f>77+17.6</f>
        <v>94.6</v>
      </c>
      <c r="Z57" s="556">
        <f>3286.3+17.6</f>
        <v>3303.9</v>
      </c>
      <c r="AA57" s="556">
        <f>116.2</f>
        <v>116.2</v>
      </c>
      <c r="AB57" s="556"/>
      <c r="AC57" s="4">
        <f t="shared" si="28"/>
        <v>9368.2</v>
      </c>
      <c r="AD57" s="6">
        <f t="shared" si="6"/>
        <v>114.19063871282303</v>
      </c>
      <c r="AE57" s="2" t="s">
        <v>493</v>
      </c>
    </row>
    <row r="58" spans="1:32" s="514" customFormat="1" ht="90" customHeight="1">
      <c r="A58" s="509"/>
      <c r="B58" s="509">
        <v>75616</v>
      </c>
      <c r="C58" s="509"/>
      <c r="D58" s="510" t="s">
        <v>1115</v>
      </c>
      <c r="E58" s="552">
        <f>SUM(E59:E68)</f>
        <v>1510502</v>
      </c>
      <c r="F58" s="554">
        <f aca="true" t="shared" si="29" ref="F58:O58">SUM(F59:F68)</f>
        <v>109711</v>
      </c>
      <c r="G58" s="554">
        <f t="shared" si="29"/>
        <v>30000</v>
      </c>
      <c r="H58" s="554">
        <f t="shared" si="29"/>
        <v>80000</v>
      </c>
      <c r="I58" s="554">
        <f t="shared" si="29"/>
        <v>100000</v>
      </c>
      <c r="J58" s="554">
        <f t="shared" si="29"/>
        <v>0</v>
      </c>
      <c r="K58" s="554">
        <f t="shared" si="29"/>
        <v>500</v>
      </c>
      <c r="L58" s="554">
        <f>SUM(L59:L68)</f>
        <v>2500</v>
      </c>
      <c r="M58" s="554">
        <f>SUM(M59:M68)</f>
        <v>48500</v>
      </c>
      <c r="N58" s="554">
        <f>SUM(N59:N68)</f>
        <v>13600</v>
      </c>
      <c r="O58" s="555">
        <f t="shared" si="29"/>
        <v>1895313</v>
      </c>
      <c r="P58" s="552">
        <f>SUM(P59:P68)</f>
        <v>68302</v>
      </c>
      <c r="Q58" s="552">
        <f>SUM(Q59:Q68)</f>
        <v>79144.48</v>
      </c>
      <c r="R58" s="552">
        <f aca="true" t="shared" si="30" ref="R58:AA58">SUM(R59:R68)</f>
        <v>379429.87000000005</v>
      </c>
      <c r="S58" s="552">
        <f t="shared" si="30"/>
        <v>73499.35</v>
      </c>
      <c r="T58" s="552">
        <f>SUM(T59:T68)</f>
        <v>321623.81</v>
      </c>
      <c r="U58" s="552">
        <f t="shared" si="30"/>
        <v>90955.65</v>
      </c>
      <c r="V58" s="552">
        <f t="shared" si="30"/>
        <v>47620.38</v>
      </c>
      <c r="W58" s="552">
        <f t="shared" si="30"/>
        <v>46046.45</v>
      </c>
      <c r="X58" s="552">
        <f t="shared" si="30"/>
        <v>336773.62</v>
      </c>
      <c r="Y58" s="552">
        <f t="shared" si="30"/>
        <v>88553.6</v>
      </c>
      <c r="Z58" s="552">
        <f t="shared" si="30"/>
        <v>311134.85</v>
      </c>
      <c r="AA58" s="552">
        <f t="shared" si="30"/>
        <v>61655.28999999999</v>
      </c>
      <c r="AB58" s="552">
        <f>SUM(AB59:AB68)</f>
        <v>400</v>
      </c>
      <c r="AC58" s="552">
        <f>SUM(AC59:AC68)</f>
        <v>1905139.3499999999</v>
      </c>
      <c r="AD58" s="13">
        <f t="shared" si="6"/>
        <v>100.5184552630621</v>
      </c>
      <c r="AE58" s="552"/>
      <c r="AF58" s="14"/>
    </row>
    <row r="59" spans="1:31" s="514" customFormat="1" ht="78.75">
      <c r="A59" s="509"/>
      <c r="B59" s="509"/>
      <c r="C59" s="533" t="s">
        <v>1048</v>
      </c>
      <c r="D59" s="10" t="s">
        <v>1105</v>
      </c>
      <c r="E59" s="556">
        <v>791515</v>
      </c>
      <c r="F59" s="558">
        <v>62800</v>
      </c>
      <c r="G59" s="558"/>
      <c r="H59" s="558"/>
      <c r="I59" s="558"/>
      <c r="J59" s="558"/>
      <c r="K59" s="558"/>
      <c r="L59" s="558"/>
      <c r="M59" s="558"/>
      <c r="N59" s="558"/>
      <c r="O59" s="537">
        <f t="shared" si="26"/>
        <v>854315</v>
      </c>
      <c r="P59" s="556">
        <v>20148.3</v>
      </c>
      <c r="Q59" s="556">
        <v>16519.39</v>
      </c>
      <c r="R59" s="556">
        <v>227807.35</v>
      </c>
      <c r="S59" s="556">
        <v>21868.11</v>
      </c>
      <c r="T59" s="556">
        <v>159895.08</v>
      </c>
      <c r="U59" s="556">
        <v>20460.01</v>
      </c>
      <c r="V59" s="556">
        <v>6547.39</v>
      </c>
      <c r="W59" s="556">
        <v>6978.32</v>
      </c>
      <c r="X59" s="556">
        <v>163358.93</v>
      </c>
      <c r="Y59" s="556">
        <v>25591.01</v>
      </c>
      <c r="Z59" s="556">
        <v>165037.1</v>
      </c>
      <c r="AA59" s="556">
        <v>21056.03</v>
      </c>
      <c r="AB59" s="556"/>
      <c r="AC59" s="4">
        <f aca="true" t="shared" si="31" ref="AC59:AC68">SUM(P59:AB59)</f>
        <v>855267.02</v>
      </c>
      <c r="AD59" s="6">
        <f t="shared" si="6"/>
        <v>100.11143664807477</v>
      </c>
      <c r="AE59" s="5" t="s">
        <v>562</v>
      </c>
    </row>
    <row r="60" spans="1:31" s="514" customFormat="1" ht="78.75">
      <c r="A60" s="509"/>
      <c r="B60" s="509"/>
      <c r="C60" s="533" t="s">
        <v>1106</v>
      </c>
      <c r="D60" s="10" t="s">
        <v>1107</v>
      </c>
      <c r="E60" s="556">
        <v>444009</v>
      </c>
      <c r="F60" s="558">
        <v>7000</v>
      </c>
      <c r="G60" s="558"/>
      <c r="H60" s="558"/>
      <c r="I60" s="558"/>
      <c r="J60" s="558"/>
      <c r="K60" s="558"/>
      <c r="L60" s="558"/>
      <c r="M60" s="558"/>
      <c r="N60" s="558"/>
      <c r="O60" s="537">
        <f t="shared" si="26"/>
        <v>451009</v>
      </c>
      <c r="P60" s="556"/>
      <c r="Q60" s="556">
        <v>20816.48</v>
      </c>
      <c r="R60" s="556">
        <v>112320.8</v>
      </c>
      <c r="S60" s="556">
        <v>11255.02</v>
      </c>
      <c r="T60" s="556">
        <v>79924.99</v>
      </c>
      <c r="U60" s="556">
        <v>21763.92</v>
      </c>
      <c r="V60" s="556">
        <v>1265.43</v>
      </c>
      <c r="W60" s="556">
        <v>595.83</v>
      </c>
      <c r="X60" s="556">
        <v>94394.65</v>
      </c>
      <c r="Y60" s="556">
        <v>14859.85</v>
      </c>
      <c r="Z60" s="556">
        <v>93233.96</v>
      </c>
      <c r="AA60" s="556">
        <v>13722.06</v>
      </c>
      <c r="AB60" s="556"/>
      <c r="AC60" s="4">
        <f t="shared" si="31"/>
        <v>464152.98999999993</v>
      </c>
      <c r="AD60" s="6">
        <f t="shared" si="6"/>
        <v>102.91435204175525</v>
      </c>
      <c r="AE60" s="5" t="s">
        <v>563</v>
      </c>
    </row>
    <row r="61" spans="1:31" s="514" customFormat="1" ht="22.5">
      <c r="A61" s="509"/>
      <c r="B61" s="509"/>
      <c r="C61" s="533" t="s">
        <v>1108</v>
      </c>
      <c r="D61" s="10" t="s">
        <v>1109</v>
      </c>
      <c r="E61" s="556">
        <v>1478</v>
      </c>
      <c r="F61" s="557">
        <v>-89</v>
      </c>
      <c r="G61" s="558"/>
      <c r="H61" s="558"/>
      <c r="I61" s="558"/>
      <c r="J61" s="558"/>
      <c r="K61" s="558"/>
      <c r="L61" s="558"/>
      <c r="M61" s="558"/>
      <c r="N61" s="558"/>
      <c r="O61" s="537">
        <f t="shared" si="26"/>
        <v>1389</v>
      </c>
      <c r="P61" s="556"/>
      <c r="Q61" s="556">
        <v>31.24</v>
      </c>
      <c r="R61" s="556">
        <v>333.58</v>
      </c>
      <c r="S61" s="556">
        <v>25.1</v>
      </c>
      <c r="T61" s="556">
        <v>339.22</v>
      </c>
      <c r="U61" s="556">
        <v>30.38</v>
      </c>
      <c r="V61" s="556">
        <v>39.97</v>
      </c>
      <c r="W61" s="556">
        <v>-2.5</v>
      </c>
      <c r="X61" s="556">
        <v>269.98</v>
      </c>
      <c r="Y61" s="556">
        <v>47.13</v>
      </c>
      <c r="Z61" s="556">
        <v>301.02</v>
      </c>
      <c r="AA61" s="556">
        <v>37.65</v>
      </c>
      <c r="AB61" s="556"/>
      <c r="AC61" s="4">
        <f t="shared" si="31"/>
        <v>1452.7700000000004</v>
      </c>
      <c r="AD61" s="6">
        <f t="shared" si="6"/>
        <v>104.59107271418291</v>
      </c>
      <c r="AE61" s="5" t="s">
        <v>558</v>
      </c>
    </row>
    <row r="62" spans="1:31" s="514" customFormat="1" ht="22.5">
      <c r="A62" s="509"/>
      <c r="B62" s="509"/>
      <c r="C62" s="533" t="s">
        <v>1110</v>
      </c>
      <c r="D62" s="10" t="s">
        <v>1111</v>
      </c>
      <c r="E62" s="556">
        <v>120000</v>
      </c>
      <c r="F62" s="558"/>
      <c r="G62" s="558"/>
      <c r="H62" s="558"/>
      <c r="I62" s="558"/>
      <c r="J62" s="558"/>
      <c r="K62" s="558"/>
      <c r="L62" s="558"/>
      <c r="M62" s="558"/>
      <c r="N62" s="558"/>
      <c r="O62" s="537">
        <f t="shared" si="26"/>
        <v>120000</v>
      </c>
      <c r="P62" s="556">
        <v>692.6</v>
      </c>
      <c r="Q62" s="556">
        <v>32899.33</v>
      </c>
      <c r="R62" s="556">
        <v>7069</v>
      </c>
      <c r="S62" s="556">
        <v>979</v>
      </c>
      <c r="T62" s="556">
        <v>533</v>
      </c>
      <c r="U62" s="556"/>
      <c r="V62" s="556"/>
      <c r="W62" s="556">
        <v>1575.2</v>
      </c>
      <c r="X62" s="556">
        <v>28801.8</v>
      </c>
      <c r="Y62" s="556">
        <v>3117.67</v>
      </c>
      <c r="Z62" s="556">
        <v>6688.33</v>
      </c>
      <c r="AA62" s="556">
        <v>2972.2</v>
      </c>
      <c r="AB62" s="556"/>
      <c r="AC62" s="4">
        <f t="shared" si="31"/>
        <v>85328.12999999999</v>
      </c>
      <c r="AD62" s="6">
        <f>AC62*100/O62</f>
        <v>71.10677499999998</v>
      </c>
      <c r="AE62" s="5" t="s">
        <v>559</v>
      </c>
    </row>
    <row r="63" spans="1:31" s="514" customFormat="1" ht="22.5">
      <c r="A63" s="509"/>
      <c r="B63" s="142"/>
      <c r="C63" s="533" t="s">
        <v>248</v>
      </c>
      <c r="D63" s="10" t="s">
        <v>249</v>
      </c>
      <c r="E63" s="556">
        <v>1500</v>
      </c>
      <c r="F63" s="558"/>
      <c r="G63" s="558"/>
      <c r="H63" s="558">
        <v>10000</v>
      </c>
      <c r="I63" s="558"/>
      <c r="J63" s="558"/>
      <c r="K63" s="558"/>
      <c r="L63" s="558">
        <v>2000</v>
      </c>
      <c r="M63" s="558">
        <v>6000</v>
      </c>
      <c r="N63" s="558"/>
      <c r="O63" s="537">
        <f t="shared" si="26"/>
        <v>19500</v>
      </c>
      <c r="P63" s="556">
        <v>112.5</v>
      </c>
      <c r="Q63" s="556">
        <v>315</v>
      </c>
      <c r="R63" s="556">
        <v>695</v>
      </c>
      <c r="S63" s="556">
        <v>8011</v>
      </c>
      <c r="T63" s="556"/>
      <c r="U63" s="556"/>
      <c r="V63" s="556">
        <v>1955</v>
      </c>
      <c r="W63" s="556"/>
      <c r="X63" s="556">
        <v>2155</v>
      </c>
      <c r="Y63" s="556">
        <v>6219</v>
      </c>
      <c r="Z63" s="556"/>
      <c r="AA63" s="556"/>
      <c r="AB63" s="556"/>
      <c r="AC63" s="4">
        <f t="shared" si="31"/>
        <v>19462.5</v>
      </c>
      <c r="AD63" s="6">
        <f t="shared" si="6"/>
        <v>99.8076923076923</v>
      </c>
      <c r="AE63" s="2" t="s">
        <v>250</v>
      </c>
    </row>
    <row r="64" spans="1:31" s="514" customFormat="1" ht="22.5">
      <c r="A64" s="509"/>
      <c r="B64" s="142"/>
      <c r="C64" s="533" t="s">
        <v>251</v>
      </c>
      <c r="D64" s="10" t="s">
        <v>252</v>
      </c>
      <c r="E64" s="556">
        <v>14000</v>
      </c>
      <c r="F64" s="558"/>
      <c r="G64" s="558"/>
      <c r="H64" s="558"/>
      <c r="I64" s="558"/>
      <c r="J64" s="558"/>
      <c r="K64" s="558"/>
      <c r="L64" s="558"/>
      <c r="M64" s="558"/>
      <c r="N64" s="558"/>
      <c r="O64" s="537">
        <f t="shared" si="26"/>
        <v>14000</v>
      </c>
      <c r="P64" s="556"/>
      <c r="Q64" s="556"/>
      <c r="R64" s="556">
        <v>125</v>
      </c>
      <c r="S64" s="556"/>
      <c r="T64" s="556"/>
      <c r="U64" s="556">
        <v>25</v>
      </c>
      <c r="V64" s="556">
        <v>1225</v>
      </c>
      <c r="W64" s="556">
        <v>1525</v>
      </c>
      <c r="X64" s="556">
        <v>50</v>
      </c>
      <c r="Y64" s="556">
        <v>475</v>
      </c>
      <c r="Z64" s="556"/>
      <c r="AA64" s="556">
        <v>400</v>
      </c>
      <c r="AB64" s="556"/>
      <c r="AC64" s="4">
        <f t="shared" si="31"/>
        <v>3825</v>
      </c>
      <c r="AD64" s="6">
        <f t="shared" si="6"/>
        <v>27.321428571428573</v>
      </c>
      <c r="AE64" s="4" t="s">
        <v>253</v>
      </c>
    </row>
    <row r="65" spans="1:31" s="514" customFormat="1" ht="11.25">
      <c r="A65" s="509"/>
      <c r="B65" s="142"/>
      <c r="C65" s="533" t="s">
        <v>254</v>
      </c>
      <c r="D65" s="10" t="s">
        <v>255</v>
      </c>
      <c r="E65" s="556">
        <v>20000</v>
      </c>
      <c r="F65" s="558"/>
      <c r="G65" s="558"/>
      <c r="H65" s="558"/>
      <c r="I65" s="558"/>
      <c r="J65" s="558"/>
      <c r="K65" s="558"/>
      <c r="L65" s="558"/>
      <c r="M65" s="558"/>
      <c r="N65" s="558"/>
      <c r="O65" s="537">
        <f t="shared" si="26"/>
        <v>20000</v>
      </c>
      <c r="P65" s="556">
        <v>1110</v>
      </c>
      <c r="Q65" s="556">
        <v>595</v>
      </c>
      <c r="R65" s="556">
        <v>1400</v>
      </c>
      <c r="S65" s="556">
        <v>1755</v>
      </c>
      <c r="T65" s="556">
        <v>2090</v>
      </c>
      <c r="U65" s="556">
        <v>1665</v>
      </c>
      <c r="V65" s="556">
        <v>1650</v>
      </c>
      <c r="W65" s="556">
        <v>1850</v>
      </c>
      <c r="X65" s="556">
        <v>1575</v>
      </c>
      <c r="Y65" s="556">
        <v>1870</v>
      </c>
      <c r="Z65" s="556">
        <v>1265</v>
      </c>
      <c r="AA65" s="556">
        <v>1600</v>
      </c>
      <c r="AB65" s="556"/>
      <c r="AC65" s="4">
        <f t="shared" si="31"/>
        <v>18425</v>
      </c>
      <c r="AD65" s="6">
        <f t="shared" si="6"/>
        <v>92.125</v>
      </c>
      <c r="AE65" s="4" t="s">
        <v>560</v>
      </c>
    </row>
    <row r="66" spans="1:31" s="514" customFormat="1" ht="33.75">
      <c r="A66" s="142"/>
      <c r="B66" s="142"/>
      <c r="C66" s="533" t="s">
        <v>256</v>
      </c>
      <c r="D66" s="10" t="s">
        <v>257</v>
      </c>
      <c r="E66" s="556">
        <v>5000</v>
      </c>
      <c r="F66" s="557">
        <v>-5000</v>
      </c>
      <c r="G66" s="558"/>
      <c r="H66" s="558"/>
      <c r="I66" s="558"/>
      <c r="J66" s="558"/>
      <c r="K66" s="558"/>
      <c r="L66" s="558"/>
      <c r="M66" s="558"/>
      <c r="N66" s="558"/>
      <c r="O66" s="537">
        <f t="shared" si="26"/>
        <v>0</v>
      </c>
      <c r="P66" s="556">
        <v>100</v>
      </c>
      <c r="Q66" s="557">
        <v>-100</v>
      </c>
      <c r="R66" s="556"/>
      <c r="S66" s="556"/>
      <c r="T66" s="556"/>
      <c r="U66" s="556"/>
      <c r="V66" s="556"/>
      <c r="W66" s="556"/>
      <c r="X66" s="556"/>
      <c r="Y66" s="556"/>
      <c r="Z66" s="556"/>
      <c r="AA66" s="556"/>
      <c r="AB66" s="556"/>
      <c r="AC66" s="4">
        <f t="shared" si="31"/>
        <v>0</v>
      </c>
      <c r="AD66" s="6"/>
      <c r="AE66" s="2" t="s">
        <v>1119</v>
      </c>
    </row>
    <row r="67" spans="1:31" s="514" customFormat="1" ht="22.5">
      <c r="A67" s="509"/>
      <c r="B67" s="142"/>
      <c r="C67" s="533" t="s">
        <v>1112</v>
      </c>
      <c r="D67" s="10" t="s">
        <v>1113</v>
      </c>
      <c r="E67" s="556">
        <v>105000</v>
      </c>
      <c r="F67" s="558">
        <v>45000</v>
      </c>
      <c r="G67" s="558">
        <v>30000</v>
      </c>
      <c r="H67" s="558">
        <v>70000</v>
      </c>
      <c r="I67" s="558">
        <v>100000</v>
      </c>
      <c r="J67" s="558"/>
      <c r="K67" s="558"/>
      <c r="L67" s="558"/>
      <c r="M67" s="558">
        <v>40000</v>
      </c>
      <c r="N67" s="558">
        <v>10000</v>
      </c>
      <c r="O67" s="537">
        <f t="shared" si="26"/>
        <v>400000</v>
      </c>
      <c r="P67" s="556">
        <v>45082</v>
      </c>
      <c r="Q67" s="556">
        <v>6956</v>
      </c>
      <c r="R67" s="556">
        <v>28625.15</v>
      </c>
      <c r="S67" s="556">
        <v>27827</v>
      </c>
      <c r="T67" s="556">
        <v>77864.6</v>
      </c>
      <c r="U67" s="556">
        <v>45791.12</v>
      </c>
      <c r="V67" s="556">
        <v>34095.59</v>
      </c>
      <c r="W67" s="556">
        <v>33273</v>
      </c>
      <c r="X67" s="556">
        <v>45550</v>
      </c>
      <c r="Y67" s="556">
        <v>33926.01</v>
      </c>
      <c r="Z67" s="556">
        <v>42732</v>
      </c>
      <c r="AA67" s="556">
        <v>20005.21</v>
      </c>
      <c r="AB67" s="556">
        <f>362</f>
        <v>362</v>
      </c>
      <c r="AC67" s="4">
        <f t="shared" si="31"/>
        <v>442089.68</v>
      </c>
      <c r="AD67" s="6">
        <f t="shared" si="6"/>
        <v>110.52242</v>
      </c>
      <c r="AE67" s="4" t="s">
        <v>1120</v>
      </c>
    </row>
    <row r="68" spans="1:31" s="514" customFormat="1" ht="45">
      <c r="A68" s="509"/>
      <c r="B68" s="142"/>
      <c r="C68" s="533" t="s">
        <v>119</v>
      </c>
      <c r="D68" s="10" t="s">
        <v>120</v>
      </c>
      <c r="E68" s="556">
        <v>8000</v>
      </c>
      <c r="F68" s="558"/>
      <c r="G68" s="558"/>
      <c r="H68" s="558"/>
      <c r="I68" s="558"/>
      <c r="J68" s="558"/>
      <c r="K68" s="558">
        <v>500</v>
      </c>
      <c r="L68" s="558">
        <v>500</v>
      </c>
      <c r="M68" s="558">
        <v>2500</v>
      </c>
      <c r="N68" s="558">
        <v>3600</v>
      </c>
      <c r="O68" s="537">
        <f t="shared" si="26"/>
        <v>15100</v>
      </c>
      <c r="P68" s="556">
        <f>515+541.6</f>
        <v>1056.6</v>
      </c>
      <c r="Q68" s="556">
        <f>647.24+464.8</f>
        <v>1112.04</v>
      </c>
      <c r="R68" s="556">
        <f>626.79+427.2</f>
        <v>1053.99</v>
      </c>
      <c r="S68" s="556">
        <f>916.72+862.4</f>
        <v>1779.12</v>
      </c>
      <c r="T68" s="556">
        <f>521.52+3+452.4</f>
        <v>976.92</v>
      </c>
      <c r="U68" s="556">
        <f>119.02+1101.2</f>
        <v>1220.22</v>
      </c>
      <c r="V68" s="556">
        <f>490+352</f>
        <v>842</v>
      </c>
      <c r="W68" s="556">
        <f>102+149.6</f>
        <v>251.6</v>
      </c>
      <c r="X68" s="556">
        <f>370.66+247.6</f>
        <v>618.26</v>
      </c>
      <c r="Y68" s="556">
        <f>1409.53+14+1024.4</f>
        <v>2447.9300000000003</v>
      </c>
      <c r="Z68" s="556">
        <f>1324.04+3+550.4</f>
        <v>1877.44</v>
      </c>
      <c r="AA68" s="556">
        <f>577.34+8.8+1276</f>
        <v>1862.1399999999999</v>
      </c>
      <c r="AB68" s="556">
        <f>38</f>
        <v>38</v>
      </c>
      <c r="AC68" s="4">
        <f t="shared" si="31"/>
        <v>15136.26</v>
      </c>
      <c r="AD68" s="6">
        <f t="shared" si="6"/>
        <v>100.24013245033113</v>
      </c>
      <c r="AE68" s="4" t="s">
        <v>570</v>
      </c>
    </row>
    <row r="69" spans="1:31" s="514" customFormat="1" ht="52.5">
      <c r="A69" s="509"/>
      <c r="B69" s="509">
        <v>75618</v>
      </c>
      <c r="C69" s="509"/>
      <c r="D69" s="510" t="s">
        <v>1121</v>
      </c>
      <c r="E69" s="552">
        <f>SUM(E70:E74)</f>
        <v>747604</v>
      </c>
      <c r="F69" s="554">
        <f aca="true" t="shared" si="32" ref="F69:AA69">SUM(F70:F74)</f>
        <v>178661</v>
      </c>
      <c r="G69" s="554">
        <f t="shared" si="32"/>
        <v>0</v>
      </c>
      <c r="H69" s="554">
        <f t="shared" si="32"/>
        <v>13900</v>
      </c>
      <c r="I69" s="554">
        <f t="shared" si="32"/>
        <v>0</v>
      </c>
      <c r="J69" s="554">
        <f t="shared" si="32"/>
        <v>0</v>
      </c>
      <c r="K69" s="554">
        <f t="shared" si="32"/>
        <v>50000</v>
      </c>
      <c r="L69" s="554">
        <f>SUM(L70:L74)</f>
        <v>194173</v>
      </c>
      <c r="M69" s="554">
        <f>SUM(M70:M74)</f>
        <v>231656</v>
      </c>
      <c r="N69" s="554">
        <f>SUM(N70:N74)</f>
        <v>0</v>
      </c>
      <c r="O69" s="555">
        <f t="shared" si="32"/>
        <v>1415994</v>
      </c>
      <c r="P69" s="552">
        <f t="shared" si="32"/>
        <v>40457.6</v>
      </c>
      <c r="Q69" s="552">
        <f>SUM(Q70:Q74)</f>
        <v>32244.76</v>
      </c>
      <c r="R69" s="552">
        <f t="shared" si="32"/>
        <v>176989.68</v>
      </c>
      <c r="S69" s="552">
        <f t="shared" si="32"/>
        <v>81068.36</v>
      </c>
      <c r="T69" s="552">
        <f>SUM(T70:T74)</f>
        <v>78352.33</v>
      </c>
      <c r="U69" s="552">
        <f t="shared" si="32"/>
        <v>16081.3</v>
      </c>
      <c r="V69" s="552">
        <f t="shared" si="32"/>
        <v>171973.12</v>
      </c>
      <c r="W69" s="552">
        <f t="shared" si="32"/>
        <v>20998.350000000002</v>
      </c>
      <c r="X69" s="552">
        <f t="shared" si="32"/>
        <v>162779.46000000002</v>
      </c>
      <c r="Y69" s="552">
        <f t="shared" si="32"/>
        <v>222093.17</v>
      </c>
      <c r="Z69" s="552">
        <f t="shared" si="32"/>
        <v>32354.8</v>
      </c>
      <c r="AA69" s="552">
        <f t="shared" si="32"/>
        <v>314888.95</v>
      </c>
      <c r="AB69" s="552">
        <f>SUM(AB70:AB74)</f>
        <v>0</v>
      </c>
      <c r="AC69" s="552">
        <f>SUM(AC70:AC74)</f>
        <v>1350281.88</v>
      </c>
      <c r="AD69" s="13">
        <f t="shared" si="6"/>
        <v>95.35929389531312</v>
      </c>
      <c r="AE69" s="552"/>
    </row>
    <row r="70" spans="1:31" s="514" customFormat="1" ht="11.25">
      <c r="A70" s="509"/>
      <c r="B70" s="509"/>
      <c r="C70" s="533" t="s">
        <v>1122</v>
      </c>
      <c r="D70" s="10" t="s">
        <v>1123</v>
      </c>
      <c r="E70" s="556">
        <v>20000</v>
      </c>
      <c r="F70" s="558">
        <v>5000</v>
      </c>
      <c r="G70" s="558"/>
      <c r="H70" s="558"/>
      <c r="I70" s="558"/>
      <c r="J70" s="558"/>
      <c r="K70" s="558">
        <v>10000</v>
      </c>
      <c r="L70" s="558"/>
      <c r="M70" s="558"/>
      <c r="N70" s="558"/>
      <c r="O70" s="537">
        <f t="shared" si="26"/>
        <v>35000</v>
      </c>
      <c r="P70" s="556">
        <v>2109</v>
      </c>
      <c r="Q70" s="556">
        <v>3163</v>
      </c>
      <c r="R70" s="556">
        <v>3522</v>
      </c>
      <c r="S70" s="556">
        <v>3297.5</v>
      </c>
      <c r="T70" s="556">
        <v>2927</v>
      </c>
      <c r="U70" s="556">
        <v>3242</v>
      </c>
      <c r="V70" s="556">
        <v>3451</v>
      </c>
      <c r="W70" s="556">
        <f>3820-50</f>
        <v>3770</v>
      </c>
      <c r="X70" s="556">
        <v>1844</v>
      </c>
      <c r="Y70" s="556">
        <f>2422.4-30.4</f>
        <v>2392</v>
      </c>
      <c r="Z70" s="556">
        <v>2467</v>
      </c>
      <c r="AA70" s="556">
        <v>1543</v>
      </c>
      <c r="AB70" s="556"/>
      <c r="AC70" s="4">
        <f>SUM(P70:AB70)</f>
        <v>33727.5</v>
      </c>
      <c r="AD70" s="6">
        <f t="shared" si="6"/>
        <v>96.36428571428571</v>
      </c>
      <c r="AE70" s="4" t="s">
        <v>1124</v>
      </c>
    </row>
    <row r="71" spans="1:31" s="514" customFormat="1" ht="45">
      <c r="A71" s="509"/>
      <c r="B71" s="509"/>
      <c r="C71" s="533" t="s">
        <v>1125</v>
      </c>
      <c r="D71" s="10" t="s">
        <v>1126</v>
      </c>
      <c r="E71" s="556">
        <v>35000</v>
      </c>
      <c r="F71" s="558"/>
      <c r="G71" s="558"/>
      <c r="H71" s="558"/>
      <c r="I71" s="558"/>
      <c r="J71" s="558"/>
      <c r="K71" s="558">
        <v>7000</v>
      </c>
      <c r="L71" s="558"/>
      <c r="M71" s="558"/>
      <c r="N71" s="558"/>
      <c r="O71" s="537">
        <f t="shared" si="26"/>
        <v>42000</v>
      </c>
      <c r="P71" s="556">
        <v>9916.56</v>
      </c>
      <c r="Q71" s="556"/>
      <c r="R71" s="556"/>
      <c r="S71" s="556">
        <v>14568.72</v>
      </c>
      <c r="T71" s="556"/>
      <c r="U71" s="556"/>
      <c r="V71" s="556">
        <v>15657.88</v>
      </c>
      <c r="W71" s="556"/>
      <c r="X71" s="556"/>
      <c r="Y71" s="556">
        <v>843.4</v>
      </c>
      <c r="Z71" s="556"/>
      <c r="AA71" s="556"/>
      <c r="AB71" s="556"/>
      <c r="AC71" s="4">
        <f>SUM(P71:AB71)</f>
        <v>40986.56</v>
      </c>
      <c r="AD71" s="6">
        <f t="shared" si="6"/>
        <v>97.58704761904762</v>
      </c>
      <c r="AE71" s="2" t="s">
        <v>571</v>
      </c>
    </row>
    <row r="72" spans="1:31" s="514" customFormat="1" ht="112.5" customHeight="1">
      <c r="A72" s="509"/>
      <c r="B72" s="509"/>
      <c r="C72" s="533" t="s">
        <v>1127</v>
      </c>
      <c r="D72" s="10" t="s">
        <v>1128</v>
      </c>
      <c r="E72" s="556">
        <v>90000</v>
      </c>
      <c r="F72" s="558"/>
      <c r="G72" s="558"/>
      <c r="H72" s="558"/>
      <c r="I72" s="558"/>
      <c r="J72" s="558"/>
      <c r="K72" s="558"/>
      <c r="L72" s="558"/>
      <c r="M72" s="558"/>
      <c r="N72" s="558"/>
      <c r="O72" s="537">
        <f t="shared" si="26"/>
        <v>90000</v>
      </c>
      <c r="P72" s="556">
        <v>21653</v>
      </c>
      <c r="Q72" s="556"/>
      <c r="R72" s="556"/>
      <c r="S72" s="556"/>
      <c r="T72" s="556">
        <v>24694.95</v>
      </c>
      <c r="U72" s="556">
        <v>264.06</v>
      </c>
      <c r="V72" s="556">
        <v>43.75</v>
      </c>
      <c r="W72" s="556">
        <v>43.15</v>
      </c>
      <c r="X72" s="556">
        <v>15487.16</v>
      </c>
      <c r="Y72" s="556">
        <v>10272.89</v>
      </c>
      <c r="Z72" s="556"/>
      <c r="AA72" s="556"/>
      <c r="AB72" s="556"/>
      <c r="AC72" s="4">
        <f>SUM(P72:AB72)</f>
        <v>72458.95999999999</v>
      </c>
      <c r="AD72" s="6">
        <f t="shared" si="6"/>
        <v>80.50995555555555</v>
      </c>
      <c r="AE72" s="2" t="s">
        <v>31</v>
      </c>
    </row>
    <row r="73" spans="1:31" s="514" customFormat="1" ht="80.25" customHeight="1">
      <c r="A73" s="509"/>
      <c r="B73" s="509"/>
      <c r="C73" s="533" t="s">
        <v>1129</v>
      </c>
      <c r="D73" s="10" t="s">
        <v>1130</v>
      </c>
      <c r="E73" s="556">
        <f>8250+16500+258964+300000+5000+3000+890</f>
        <v>592604</v>
      </c>
      <c r="F73" s="558">
        <v>173661</v>
      </c>
      <c r="G73" s="558"/>
      <c r="H73" s="558">
        <v>13900</v>
      </c>
      <c r="I73" s="558"/>
      <c r="J73" s="558"/>
      <c r="K73" s="558">
        <v>16000</v>
      </c>
      <c r="L73" s="558">
        <v>193173</v>
      </c>
      <c r="M73" s="558">
        <f>170260.8+61395.2</f>
        <v>231656</v>
      </c>
      <c r="N73" s="558"/>
      <c r="O73" s="537">
        <f t="shared" si="26"/>
        <v>1220994</v>
      </c>
      <c r="P73" s="556">
        <v>6779.04</v>
      </c>
      <c r="Q73" s="556">
        <v>29081.76</v>
      </c>
      <c r="R73" s="556">
        <v>173467.68</v>
      </c>
      <c r="S73" s="556">
        <v>61330.14</v>
      </c>
      <c r="T73" s="556">
        <v>50623.92</v>
      </c>
      <c r="U73" s="556">
        <v>12295.55</v>
      </c>
      <c r="V73" s="556">
        <v>151977.8</v>
      </c>
      <c r="W73" s="556">
        <f>17135.2+50</f>
        <v>17185.2</v>
      </c>
      <c r="X73" s="556">
        <v>121009.6</v>
      </c>
      <c r="Y73" s="556">
        <v>208584.88</v>
      </c>
      <c r="Z73" s="556">
        <v>29887.8</v>
      </c>
      <c r="AA73" s="556">
        <v>311928.08</v>
      </c>
      <c r="AB73" s="556"/>
      <c r="AC73" s="4">
        <f>SUM(P73:AB73)</f>
        <v>1174151.45</v>
      </c>
      <c r="AD73" s="6">
        <f t="shared" si="6"/>
        <v>96.16357246636757</v>
      </c>
      <c r="AE73" s="6" t="s">
        <v>921</v>
      </c>
    </row>
    <row r="74" spans="1:31" s="514" customFormat="1" ht="45">
      <c r="A74" s="509"/>
      <c r="B74" s="142"/>
      <c r="C74" s="533" t="s">
        <v>119</v>
      </c>
      <c r="D74" s="10" t="s">
        <v>120</v>
      </c>
      <c r="E74" s="556">
        <v>10000</v>
      </c>
      <c r="F74" s="558"/>
      <c r="G74" s="558"/>
      <c r="H74" s="558"/>
      <c r="I74" s="558"/>
      <c r="J74" s="558"/>
      <c r="K74" s="558">
        <v>17000</v>
      </c>
      <c r="L74" s="558">
        <v>1000</v>
      </c>
      <c r="M74" s="558"/>
      <c r="N74" s="558"/>
      <c r="O74" s="537">
        <f t="shared" si="26"/>
        <v>28000</v>
      </c>
      <c r="P74" s="556"/>
      <c r="Q74" s="556"/>
      <c r="R74" s="556"/>
      <c r="S74" s="556">
        <v>1872</v>
      </c>
      <c r="T74" s="556">
        <v>106.46</v>
      </c>
      <c r="U74" s="556">
        <v>279.69</v>
      </c>
      <c r="V74" s="556">
        <v>842.69</v>
      </c>
      <c r="W74" s="556"/>
      <c r="X74" s="556">
        <v>24438.7</v>
      </c>
      <c r="Y74" s="556"/>
      <c r="Z74" s="556"/>
      <c r="AA74" s="556">
        <v>1417.87</v>
      </c>
      <c r="AB74" s="556"/>
      <c r="AC74" s="4">
        <f>SUM(P74:AB74)</f>
        <v>28957.41</v>
      </c>
      <c r="AD74" s="6">
        <f t="shared" si="6"/>
        <v>103.41932142857142</v>
      </c>
      <c r="AE74" s="6" t="s">
        <v>58</v>
      </c>
    </row>
    <row r="75" spans="1:31" s="514" customFormat="1" ht="31.5">
      <c r="A75" s="509"/>
      <c r="B75" s="509">
        <v>75621</v>
      </c>
      <c r="C75" s="509"/>
      <c r="D75" s="510" t="s">
        <v>1131</v>
      </c>
      <c r="E75" s="552">
        <f>SUM(E76:E77)</f>
        <v>2938852</v>
      </c>
      <c r="F75" s="553">
        <f aca="true" t="shared" si="33" ref="F75:AA75">SUM(F76:F77)</f>
        <v>-12564</v>
      </c>
      <c r="G75" s="554">
        <f t="shared" si="33"/>
        <v>0</v>
      </c>
      <c r="H75" s="554">
        <f t="shared" si="33"/>
        <v>0</v>
      </c>
      <c r="I75" s="554">
        <f t="shared" si="33"/>
        <v>0</v>
      </c>
      <c r="J75" s="554">
        <f t="shared" si="33"/>
        <v>0</v>
      </c>
      <c r="K75" s="554">
        <f t="shared" si="33"/>
        <v>0</v>
      </c>
      <c r="L75" s="554">
        <f>SUM(L76:L77)</f>
        <v>0</v>
      </c>
      <c r="M75" s="554">
        <f>SUM(M76:M77)</f>
        <v>0</v>
      </c>
      <c r="N75" s="553">
        <f>SUM(N76:N77)</f>
        <v>-165000</v>
      </c>
      <c r="O75" s="555">
        <f t="shared" si="33"/>
        <v>2761288</v>
      </c>
      <c r="P75" s="552">
        <f t="shared" si="33"/>
        <v>0</v>
      </c>
      <c r="Q75" s="552">
        <f t="shared" si="33"/>
        <v>220153.69</v>
      </c>
      <c r="R75" s="552">
        <f t="shared" si="33"/>
        <v>209407.66</v>
      </c>
      <c r="S75" s="552">
        <f t="shared" si="33"/>
        <v>277475.52</v>
      </c>
      <c r="T75" s="552">
        <f t="shared" si="33"/>
        <v>369288.32</v>
      </c>
      <c r="U75" s="552">
        <f t="shared" si="33"/>
        <v>192702</v>
      </c>
      <c r="V75" s="552">
        <f t="shared" si="33"/>
        <v>181878.52</v>
      </c>
      <c r="W75" s="552">
        <f t="shared" si="33"/>
        <v>210912.01</v>
      </c>
      <c r="X75" s="552">
        <f t="shared" si="33"/>
        <v>253675.94</v>
      </c>
      <c r="Y75" s="552">
        <f t="shared" si="33"/>
        <v>246304.26</v>
      </c>
      <c r="Z75" s="552">
        <f t="shared" si="33"/>
        <v>261613.14</v>
      </c>
      <c r="AA75" s="552">
        <f t="shared" si="33"/>
        <v>239579.18</v>
      </c>
      <c r="AB75" s="552">
        <f>SUM(AB76:AB77)</f>
        <v>344583.24</v>
      </c>
      <c r="AC75" s="552">
        <f>SUM(AC76:AC77)</f>
        <v>3007573.48</v>
      </c>
      <c r="AD75" s="13">
        <f t="shared" si="6"/>
        <v>108.91922465168429</v>
      </c>
      <c r="AE75" s="552"/>
    </row>
    <row r="76" spans="1:31" s="514" customFormat="1" ht="45">
      <c r="A76" s="509"/>
      <c r="B76" s="142"/>
      <c r="C76" s="533" t="s">
        <v>1132</v>
      </c>
      <c r="D76" s="10" t="s">
        <v>1133</v>
      </c>
      <c r="E76" s="556">
        <v>2543852</v>
      </c>
      <c r="F76" s="557">
        <v>-32564</v>
      </c>
      <c r="G76" s="558"/>
      <c r="H76" s="558"/>
      <c r="I76" s="558"/>
      <c r="J76" s="558"/>
      <c r="K76" s="558"/>
      <c r="L76" s="558"/>
      <c r="M76" s="558"/>
      <c r="N76" s="557"/>
      <c r="O76" s="537">
        <f t="shared" si="26"/>
        <v>2511288</v>
      </c>
      <c r="P76" s="556"/>
      <c r="Q76" s="556">
        <v>193880</v>
      </c>
      <c r="R76" s="556">
        <v>169160</v>
      </c>
      <c r="S76" s="556">
        <v>164465</v>
      </c>
      <c r="T76" s="556">
        <v>343591</v>
      </c>
      <c r="U76" s="556">
        <v>180872</v>
      </c>
      <c r="V76" s="556">
        <v>170257</v>
      </c>
      <c r="W76" s="556">
        <v>198997</v>
      </c>
      <c r="X76" s="556">
        <v>235593</v>
      </c>
      <c r="Y76" s="556">
        <v>234349</v>
      </c>
      <c r="Z76" s="556">
        <v>249735</v>
      </c>
      <c r="AA76" s="556">
        <v>273955</v>
      </c>
      <c r="AB76" s="556">
        <f>291465+8843</f>
        <v>300308</v>
      </c>
      <c r="AC76" s="4">
        <f>SUM(P76:AB76)</f>
        <v>2715162</v>
      </c>
      <c r="AD76" s="6">
        <f t="shared" si="6"/>
        <v>108.11830423272839</v>
      </c>
      <c r="AE76" s="4" t="s">
        <v>339</v>
      </c>
    </row>
    <row r="77" spans="1:31" s="514" customFormat="1" ht="33.75">
      <c r="A77" s="509"/>
      <c r="B77" s="142"/>
      <c r="C77" s="533" t="s">
        <v>340</v>
      </c>
      <c r="D77" s="10" t="s">
        <v>341</v>
      </c>
      <c r="E77" s="556">
        <v>395000</v>
      </c>
      <c r="F77" s="558">
        <v>20000</v>
      </c>
      <c r="G77" s="558"/>
      <c r="H77" s="558"/>
      <c r="I77" s="558"/>
      <c r="J77" s="558"/>
      <c r="K77" s="558"/>
      <c r="L77" s="558"/>
      <c r="M77" s="558"/>
      <c r="N77" s="557">
        <v>-165000</v>
      </c>
      <c r="O77" s="537">
        <f t="shared" si="26"/>
        <v>250000</v>
      </c>
      <c r="P77" s="556"/>
      <c r="Q77" s="556">
        <v>26273.69</v>
      </c>
      <c r="R77" s="556">
        <v>40247.66</v>
      </c>
      <c r="S77" s="556">
        <v>113010.52</v>
      </c>
      <c r="T77" s="556">
        <v>25697.32</v>
      </c>
      <c r="U77" s="556">
        <v>11830</v>
      </c>
      <c r="V77" s="556">
        <v>11621.52</v>
      </c>
      <c r="W77" s="556">
        <v>11915.01</v>
      </c>
      <c r="X77" s="556">
        <v>18082.94</v>
      </c>
      <c r="Y77" s="556">
        <v>11955.26</v>
      </c>
      <c r="Z77" s="556">
        <v>11878.14</v>
      </c>
      <c r="AA77" s="557">
        <v>-34375.82</v>
      </c>
      <c r="AB77" s="556">
        <f>44273.38+1.86</f>
        <v>44275.24</v>
      </c>
      <c r="AC77" s="4">
        <f>SUM(P77:AB77)</f>
        <v>292411.48</v>
      </c>
      <c r="AD77" s="6">
        <f t="shared" si="6"/>
        <v>116.964592</v>
      </c>
      <c r="AE77" s="4" t="s">
        <v>342</v>
      </c>
    </row>
    <row r="78" spans="1:31" s="514" customFormat="1" ht="11.25">
      <c r="A78" s="565">
        <v>758</v>
      </c>
      <c r="B78" s="565"/>
      <c r="C78" s="565"/>
      <c r="D78" s="548" t="s">
        <v>343</v>
      </c>
      <c r="E78" s="549">
        <f>E79+E83+E85+E88</f>
        <v>4603173</v>
      </c>
      <c r="F78" s="551">
        <f aca="true" t="shared" si="34" ref="F78:K78">F79+F83+F85+F88</f>
        <v>90138</v>
      </c>
      <c r="G78" s="550">
        <f t="shared" si="34"/>
        <v>-2164</v>
      </c>
      <c r="H78" s="551">
        <f t="shared" si="34"/>
        <v>10000</v>
      </c>
      <c r="I78" s="551">
        <f t="shared" si="34"/>
        <v>30312</v>
      </c>
      <c r="J78" s="551">
        <f t="shared" si="34"/>
        <v>43485</v>
      </c>
      <c r="K78" s="551">
        <f t="shared" si="34"/>
        <v>0</v>
      </c>
      <c r="L78" s="551">
        <f>L79+L83+L85+L88</f>
        <v>5000</v>
      </c>
      <c r="M78" s="551">
        <f>M79+M83+M85+M88+M81</f>
        <v>26290</v>
      </c>
      <c r="N78" s="551">
        <f>N79+N83+N85+N88+N81</f>
        <v>114800</v>
      </c>
      <c r="O78" s="549">
        <f>O79+O83+O85+O88+O81</f>
        <v>4921034</v>
      </c>
      <c r="P78" s="549">
        <f aca="true" t="shared" si="35" ref="P78:X78">P79+P83+P85+P88</f>
        <v>662502.26</v>
      </c>
      <c r="Q78" s="549">
        <f t="shared" si="35"/>
        <v>689317.58</v>
      </c>
      <c r="R78" s="549">
        <f t="shared" si="35"/>
        <v>369461.78</v>
      </c>
      <c r="S78" s="549">
        <f t="shared" si="35"/>
        <v>364584.92</v>
      </c>
      <c r="T78" s="549">
        <f t="shared" si="35"/>
        <v>364584.88</v>
      </c>
      <c r="U78" s="549">
        <f t="shared" si="35"/>
        <v>374497.03</v>
      </c>
      <c r="V78" s="549">
        <f t="shared" si="35"/>
        <v>384896</v>
      </c>
      <c r="W78" s="549">
        <f t="shared" si="35"/>
        <v>364607.33</v>
      </c>
      <c r="X78" s="549">
        <f t="shared" si="35"/>
        <v>422312.64</v>
      </c>
      <c r="Y78" s="549">
        <f>Y79+Y83+Y85+Y88+Y81</f>
        <v>389186</v>
      </c>
      <c r="Z78" s="549">
        <f>Z79+Z83+Z85+Z88+Z81</f>
        <v>383530</v>
      </c>
      <c r="AA78" s="549">
        <f>AA79+AA83+AA85+AA88+AA81</f>
        <v>164252.17</v>
      </c>
      <c r="AB78" s="549">
        <f>AB79+AB83+AB85+AB88+AB81</f>
        <v>0</v>
      </c>
      <c r="AC78" s="549">
        <f>AC79+AC83+AC85+AC88+AC81</f>
        <v>4933732.59</v>
      </c>
      <c r="AD78" s="3">
        <f t="shared" si="6"/>
        <v>100.25804719089524</v>
      </c>
      <c r="AE78" s="549"/>
    </row>
    <row r="79" spans="1:31" s="514" customFormat="1" ht="42">
      <c r="A79" s="509"/>
      <c r="B79" s="509">
        <v>75801</v>
      </c>
      <c r="C79" s="509"/>
      <c r="D79" s="510" t="s">
        <v>344</v>
      </c>
      <c r="E79" s="552">
        <f aca="true" t="shared" si="36" ref="E79:AC79">E80</f>
        <v>3958907</v>
      </c>
      <c r="F79" s="554">
        <f t="shared" si="36"/>
        <v>85974</v>
      </c>
      <c r="G79" s="553">
        <f t="shared" si="36"/>
        <v>0</v>
      </c>
      <c r="H79" s="554">
        <f t="shared" si="36"/>
        <v>0</v>
      </c>
      <c r="I79" s="554">
        <f t="shared" si="36"/>
        <v>20312</v>
      </c>
      <c r="J79" s="554">
        <f t="shared" si="36"/>
        <v>0</v>
      </c>
      <c r="K79" s="554">
        <f t="shared" si="36"/>
        <v>0</v>
      </c>
      <c r="L79" s="554">
        <f t="shared" si="36"/>
        <v>0</v>
      </c>
      <c r="M79" s="554">
        <f t="shared" si="36"/>
        <v>1688</v>
      </c>
      <c r="N79" s="554">
        <f t="shared" si="36"/>
        <v>0</v>
      </c>
      <c r="O79" s="555">
        <f t="shared" si="36"/>
        <v>4066881</v>
      </c>
      <c r="P79" s="552">
        <f t="shared" si="36"/>
        <v>609062</v>
      </c>
      <c r="Q79" s="552">
        <f t="shared" si="36"/>
        <v>635518</v>
      </c>
      <c r="R79" s="552">
        <f t="shared" si="36"/>
        <v>311145</v>
      </c>
      <c r="S79" s="552">
        <f t="shared" si="36"/>
        <v>311145</v>
      </c>
      <c r="T79" s="552">
        <f t="shared" si="36"/>
        <v>311145</v>
      </c>
      <c r="U79" s="552">
        <f t="shared" si="36"/>
        <v>311145</v>
      </c>
      <c r="V79" s="552">
        <f t="shared" si="36"/>
        <v>331457</v>
      </c>
      <c r="W79" s="552">
        <f t="shared" si="36"/>
        <v>311145</v>
      </c>
      <c r="X79" s="552">
        <f t="shared" si="36"/>
        <v>311145</v>
      </c>
      <c r="Y79" s="552">
        <f t="shared" si="36"/>
        <v>311145</v>
      </c>
      <c r="Z79" s="552">
        <f t="shared" si="36"/>
        <v>312829</v>
      </c>
      <c r="AA79" s="552">
        <f t="shared" si="36"/>
        <v>0</v>
      </c>
      <c r="AB79" s="552">
        <f t="shared" si="36"/>
        <v>0</v>
      </c>
      <c r="AC79" s="552">
        <f t="shared" si="36"/>
        <v>4066881</v>
      </c>
      <c r="AD79" s="13">
        <f t="shared" si="6"/>
        <v>100</v>
      </c>
      <c r="AE79" s="769" t="s">
        <v>923</v>
      </c>
    </row>
    <row r="80" spans="1:31" s="514" customFormat="1" ht="26.25" customHeight="1">
      <c r="A80" s="509"/>
      <c r="B80" s="142"/>
      <c r="C80" s="142">
        <v>2920</v>
      </c>
      <c r="D80" s="10" t="s">
        <v>345</v>
      </c>
      <c r="E80" s="556">
        <v>3958907</v>
      </c>
      <c r="F80" s="558">
        <v>85974</v>
      </c>
      <c r="G80" s="557"/>
      <c r="H80" s="558"/>
      <c r="I80" s="558">
        <v>20312</v>
      </c>
      <c r="J80" s="558"/>
      <c r="K80" s="558"/>
      <c r="L80" s="558"/>
      <c r="M80" s="558">
        <v>1688</v>
      </c>
      <c r="N80" s="558"/>
      <c r="O80" s="537">
        <f aca="true" t="shared" si="37" ref="O80:O89">E80+F80+G80+H80+I80+J80+K80+L80+M80+N80</f>
        <v>4066881</v>
      </c>
      <c r="P80" s="556">
        <v>609062</v>
      </c>
      <c r="Q80" s="556">
        <v>635518</v>
      </c>
      <c r="R80" s="556">
        <v>311145</v>
      </c>
      <c r="S80" s="556">
        <v>311145</v>
      </c>
      <c r="T80" s="556">
        <v>311145</v>
      </c>
      <c r="U80" s="556">
        <v>311145</v>
      </c>
      <c r="V80" s="556">
        <v>331457</v>
      </c>
      <c r="W80" s="556">
        <v>311145</v>
      </c>
      <c r="X80" s="556">
        <v>311145</v>
      </c>
      <c r="Y80" s="556">
        <f>335747-24602</f>
        <v>311145</v>
      </c>
      <c r="Z80" s="556">
        <v>312829</v>
      </c>
      <c r="AA80" s="556"/>
      <c r="AB80" s="556"/>
      <c r="AC80" s="4">
        <f>SUM(P80:AB80)</f>
        <v>4066881</v>
      </c>
      <c r="AD80" s="6">
        <f aca="true" t="shared" si="38" ref="AD80:AD123">AC80*100/O80</f>
        <v>100</v>
      </c>
      <c r="AE80" s="770"/>
    </row>
    <row r="81" spans="1:31" s="514" customFormat="1" ht="31.5" customHeight="1">
      <c r="A81" s="509"/>
      <c r="B81" s="509">
        <v>75802</v>
      </c>
      <c r="C81" s="509"/>
      <c r="D81" s="510" t="s">
        <v>473</v>
      </c>
      <c r="E81" s="556"/>
      <c r="F81" s="558"/>
      <c r="G81" s="557"/>
      <c r="H81" s="558"/>
      <c r="I81" s="558"/>
      <c r="J81" s="558"/>
      <c r="K81" s="558"/>
      <c r="L81" s="558"/>
      <c r="M81" s="541">
        <f>M82</f>
        <v>24602</v>
      </c>
      <c r="N81" s="541">
        <f>N82</f>
        <v>0</v>
      </c>
      <c r="O81" s="542">
        <f>O82</f>
        <v>24602</v>
      </c>
      <c r="P81" s="12"/>
      <c r="Q81" s="12"/>
      <c r="R81" s="12"/>
      <c r="S81" s="12"/>
      <c r="T81" s="12"/>
      <c r="U81" s="12"/>
      <c r="V81" s="12"/>
      <c r="W81" s="12"/>
      <c r="X81" s="12"/>
      <c r="Y81" s="12">
        <f>Y82</f>
        <v>24602</v>
      </c>
      <c r="Z81" s="12">
        <f>Z82</f>
        <v>0</v>
      </c>
      <c r="AA81" s="12">
        <f>AA82</f>
        <v>0</v>
      </c>
      <c r="AB81" s="552">
        <f>AB82</f>
        <v>0</v>
      </c>
      <c r="AC81" s="12">
        <f>AC82</f>
        <v>24602</v>
      </c>
      <c r="AD81" s="13">
        <f t="shared" si="38"/>
        <v>100</v>
      </c>
      <c r="AE81" s="771" t="s">
        <v>922</v>
      </c>
    </row>
    <row r="82" spans="1:31" s="514" customFormat="1" ht="22.5">
      <c r="A82" s="509"/>
      <c r="B82" s="142"/>
      <c r="C82" s="142">
        <v>2750</v>
      </c>
      <c r="D82" s="10" t="s">
        <v>474</v>
      </c>
      <c r="E82" s="556"/>
      <c r="F82" s="558"/>
      <c r="G82" s="557"/>
      <c r="H82" s="558"/>
      <c r="I82" s="558"/>
      <c r="J82" s="558"/>
      <c r="K82" s="558"/>
      <c r="L82" s="558"/>
      <c r="M82" s="558">
        <v>24602</v>
      </c>
      <c r="N82" s="558"/>
      <c r="O82" s="537">
        <f t="shared" si="37"/>
        <v>24602</v>
      </c>
      <c r="P82" s="556"/>
      <c r="Q82" s="556"/>
      <c r="R82" s="556"/>
      <c r="S82" s="556"/>
      <c r="T82" s="556"/>
      <c r="U82" s="556"/>
      <c r="V82" s="556"/>
      <c r="W82" s="556"/>
      <c r="X82" s="556"/>
      <c r="Y82" s="556">
        <v>24602</v>
      </c>
      <c r="Z82" s="556"/>
      <c r="AA82" s="556"/>
      <c r="AB82" s="556"/>
      <c r="AC82" s="4">
        <f>SUM(P82:AB82)</f>
        <v>24602</v>
      </c>
      <c r="AD82" s="6">
        <f t="shared" si="38"/>
        <v>100</v>
      </c>
      <c r="AE82" s="772"/>
    </row>
    <row r="83" spans="1:31" s="514" customFormat="1" ht="31.5">
      <c r="A83" s="509"/>
      <c r="B83" s="509">
        <v>75807</v>
      </c>
      <c r="C83" s="509"/>
      <c r="D83" s="510" t="s">
        <v>346</v>
      </c>
      <c r="E83" s="552">
        <f aca="true" t="shared" si="39" ref="E83:AC83">E84</f>
        <v>574141</v>
      </c>
      <c r="F83" s="554">
        <f t="shared" si="39"/>
        <v>0</v>
      </c>
      <c r="G83" s="554">
        <f t="shared" si="39"/>
        <v>0</v>
      </c>
      <c r="H83" s="554">
        <f t="shared" si="39"/>
        <v>0</v>
      </c>
      <c r="I83" s="554">
        <f t="shared" si="39"/>
        <v>0</v>
      </c>
      <c r="J83" s="554">
        <f t="shared" si="39"/>
        <v>0</v>
      </c>
      <c r="K83" s="554">
        <f t="shared" si="39"/>
        <v>0</v>
      </c>
      <c r="L83" s="554">
        <f t="shared" si="39"/>
        <v>0</v>
      </c>
      <c r="M83" s="554">
        <f t="shared" si="39"/>
        <v>0</v>
      </c>
      <c r="N83" s="554">
        <f t="shared" si="39"/>
        <v>0</v>
      </c>
      <c r="O83" s="555">
        <f t="shared" si="39"/>
        <v>574141</v>
      </c>
      <c r="P83" s="552">
        <f t="shared" si="39"/>
        <v>47845</v>
      </c>
      <c r="Q83" s="552">
        <f t="shared" si="39"/>
        <v>47845</v>
      </c>
      <c r="R83" s="552">
        <f t="shared" si="39"/>
        <v>47845</v>
      </c>
      <c r="S83" s="552">
        <f t="shared" si="39"/>
        <v>47845</v>
      </c>
      <c r="T83" s="552">
        <f t="shared" si="39"/>
        <v>47845</v>
      </c>
      <c r="U83" s="552">
        <f t="shared" si="39"/>
        <v>47845</v>
      </c>
      <c r="V83" s="552">
        <f t="shared" si="39"/>
        <v>47845</v>
      </c>
      <c r="W83" s="552">
        <f t="shared" si="39"/>
        <v>47845</v>
      </c>
      <c r="X83" s="552">
        <f t="shared" si="39"/>
        <v>47845</v>
      </c>
      <c r="Y83" s="552">
        <f t="shared" si="39"/>
        <v>47845</v>
      </c>
      <c r="Z83" s="552">
        <f t="shared" si="39"/>
        <v>47845</v>
      </c>
      <c r="AA83" s="552">
        <f t="shared" si="39"/>
        <v>47846</v>
      </c>
      <c r="AB83" s="552">
        <f t="shared" si="39"/>
        <v>0</v>
      </c>
      <c r="AC83" s="552">
        <f t="shared" si="39"/>
        <v>574141</v>
      </c>
      <c r="AD83" s="13">
        <f t="shared" si="38"/>
        <v>100</v>
      </c>
      <c r="AE83" s="769" t="s">
        <v>925</v>
      </c>
    </row>
    <row r="84" spans="1:31" s="514" customFormat="1" ht="22.5">
      <c r="A84" s="509"/>
      <c r="B84" s="142"/>
      <c r="C84" s="142">
        <v>2920</v>
      </c>
      <c r="D84" s="10" t="s">
        <v>345</v>
      </c>
      <c r="E84" s="556">
        <v>574141</v>
      </c>
      <c r="F84" s="558"/>
      <c r="G84" s="558"/>
      <c r="H84" s="558"/>
      <c r="I84" s="558"/>
      <c r="J84" s="558"/>
      <c r="K84" s="558"/>
      <c r="L84" s="558"/>
      <c r="M84" s="558"/>
      <c r="N84" s="558"/>
      <c r="O84" s="537">
        <f t="shared" si="37"/>
        <v>574141</v>
      </c>
      <c r="P84" s="556">
        <v>47845</v>
      </c>
      <c r="Q84" s="556">
        <v>47845</v>
      </c>
      <c r="R84" s="556">
        <v>47845</v>
      </c>
      <c r="S84" s="556">
        <v>47845</v>
      </c>
      <c r="T84" s="556">
        <v>47845</v>
      </c>
      <c r="U84" s="556">
        <v>47845</v>
      </c>
      <c r="V84" s="556">
        <v>47845</v>
      </c>
      <c r="W84" s="556">
        <v>47845</v>
      </c>
      <c r="X84" s="556">
        <v>47845</v>
      </c>
      <c r="Y84" s="556">
        <v>47845</v>
      </c>
      <c r="Z84" s="556">
        <v>47845</v>
      </c>
      <c r="AA84" s="556">
        <v>47846</v>
      </c>
      <c r="AB84" s="556"/>
      <c r="AC84" s="4">
        <f>SUM(P84:AB84)</f>
        <v>574141</v>
      </c>
      <c r="AD84" s="6">
        <f t="shared" si="38"/>
        <v>100</v>
      </c>
      <c r="AE84" s="770"/>
    </row>
    <row r="85" spans="1:31" s="577" customFormat="1" ht="21">
      <c r="A85" s="509"/>
      <c r="B85" s="509">
        <v>75814</v>
      </c>
      <c r="C85" s="509"/>
      <c r="D85" s="510" t="s">
        <v>347</v>
      </c>
      <c r="E85" s="552">
        <f aca="true" t="shared" si="40" ref="E85:Z85">E86</f>
        <v>3000</v>
      </c>
      <c r="F85" s="554">
        <f t="shared" si="40"/>
        <v>2000</v>
      </c>
      <c r="G85" s="554">
        <f t="shared" si="40"/>
        <v>0</v>
      </c>
      <c r="H85" s="554">
        <f t="shared" si="40"/>
        <v>10000</v>
      </c>
      <c r="I85" s="554">
        <f t="shared" si="40"/>
        <v>10000</v>
      </c>
      <c r="J85" s="554">
        <f>J86+J87</f>
        <v>43485</v>
      </c>
      <c r="K85" s="554">
        <f t="shared" si="40"/>
        <v>0</v>
      </c>
      <c r="L85" s="554">
        <f t="shared" si="40"/>
        <v>5000</v>
      </c>
      <c r="M85" s="554">
        <f t="shared" si="40"/>
        <v>0</v>
      </c>
      <c r="N85" s="554">
        <f>N86+N87</f>
        <v>114800</v>
      </c>
      <c r="O85" s="555">
        <f>O86+O87</f>
        <v>188285</v>
      </c>
      <c r="P85" s="552">
        <f t="shared" si="40"/>
        <v>1.26</v>
      </c>
      <c r="Q85" s="552">
        <f t="shared" si="40"/>
        <v>0.58</v>
      </c>
      <c r="R85" s="552">
        <f t="shared" si="40"/>
        <v>5237.78</v>
      </c>
      <c r="S85" s="552">
        <f t="shared" si="40"/>
        <v>0.92</v>
      </c>
      <c r="T85" s="552">
        <f t="shared" si="40"/>
        <v>0.88</v>
      </c>
      <c r="U85" s="552">
        <f t="shared" si="40"/>
        <v>9913.03</v>
      </c>
      <c r="V85" s="552">
        <f t="shared" si="40"/>
        <v>0</v>
      </c>
      <c r="W85" s="552">
        <f>W86+W87</f>
        <v>23.33</v>
      </c>
      <c r="X85" s="552">
        <f>X86+X87</f>
        <v>57728.64</v>
      </c>
      <c r="Y85" s="552">
        <f t="shared" si="40"/>
        <v>0</v>
      </c>
      <c r="Z85" s="552">
        <f t="shared" si="40"/>
        <v>17262</v>
      </c>
      <c r="AA85" s="552">
        <f>AA86+AA87</f>
        <v>110815.17000000001</v>
      </c>
      <c r="AB85" s="552">
        <f>AB86+AB87</f>
        <v>0</v>
      </c>
      <c r="AC85" s="552">
        <f>AC86+AC87</f>
        <v>200983.59</v>
      </c>
      <c r="AD85" s="13">
        <f t="shared" si="38"/>
        <v>106.74434500889609</v>
      </c>
      <c r="AE85" s="552"/>
    </row>
    <row r="86" spans="1:31" s="514" customFormat="1" ht="22.5">
      <c r="A86" s="509"/>
      <c r="B86" s="142"/>
      <c r="C86" s="533" t="s">
        <v>122</v>
      </c>
      <c r="D86" s="10" t="s">
        <v>123</v>
      </c>
      <c r="E86" s="556">
        <v>3000</v>
      </c>
      <c r="F86" s="558">
        <v>2000</v>
      </c>
      <c r="G86" s="558"/>
      <c r="H86" s="558">
        <v>10000</v>
      </c>
      <c r="I86" s="558">
        <v>10000</v>
      </c>
      <c r="J86" s="558"/>
      <c r="K86" s="558"/>
      <c r="L86" s="558">
        <v>5000</v>
      </c>
      <c r="M86" s="558"/>
      <c r="N86" s="558">
        <v>20000</v>
      </c>
      <c r="O86" s="537">
        <f t="shared" si="37"/>
        <v>50000</v>
      </c>
      <c r="P86" s="556">
        <v>1.26</v>
      </c>
      <c r="Q86" s="556">
        <v>0.58</v>
      </c>
      <c r="R86" s="556">
        <v>5237.78</v>
      </c>
      <c r="S86" s="556">
        <v>0.92</v>
      </c>
      <c r="T86" s="556">
        <v>0.88</v>
      </c>
      <c r="U86" s="556">
        <f>9912.99+0.04</f>
        <v>9913.03</v>
      </c>
      <c r="V86" s="556"/>
      <c r="W86" s="556">
        <v>23.33</v>
      </c>
      <c r="X86" s="556">
        <v>14243.35</v>
      </c>
      <c r="Y86" s="556"/>
      <c r="Z86" s="556">
        <v>17262</v>
      </c>
      <c r="AA86" s="556">
        <v>15990.96</v>
      </c>
      <c r="AB86" s="556"/>
      <c r="AC86" s="4">
        <f>SUM(P86:AB86)</f>
        <v>62674.090000000004</v>
      </c>
      <c r="AD86" s="578">
        <f t="shared" si="38"/>
        <v>125.34818</v>
      </c>
      <c r="AE86" s="4" t="s">
        <v>348</v>
      </c>
    </row>
    <row r="87" spans="1:31" s="514" customFormat="1" ht="45">
      <c r="A87" s="509"/>
      <c r="B87" s="142"/>
      <c r="C87" s="533">
        <v>2370</v>
      </c>
      <c r="D87" s="10" t="s">
        <v>475</v>
      </c>
      <c r="E87" s="556"/>
      <c r="F87" s="558"/>
      <c r="G87" s="558"/>
      <c r="H87" s="558"/>
      <c r="I87" s="558"/>
      <c r="J87" s="558">
        <v>43485</v>
      </c>
      <c r="K87" s="558"/>
      <c r="L87" s="558"/>
      <c r="M87" s="558"/>
      <c r="N87" s="558">
        <v>94800</v>
      </c>
      <c r="O87" s="537">
        <f t="shared" si="37"/>
        <v>138285</v>
      </c>
      <c r="P87" s="556"/>
      <c r="Q87" s="556"/>
      <c r="R87" s="556"/>
      <c r="S87" s="556"/>
      <c r="T87" s="556"/>
      <c r="U87" s="556"/>
      <c r="V87" s="556"/>
      <c r="W87" s="556"/>
      <c r="X87" s="556">
        <v>43485.29</v>
      </c>
      <c r="Y87" s="556"/>
      <c r="Z87" s="556"/>
      <c r="AA87" s="556">
        <v>94824.21</v>
      </c>
      <c r="AB87" s="556"/>
      <c r="AC87" s="4">
        <f>SUM(P87:AB87)</f>
        <v>138309.5</v>
      </c>
      <c r="AD87" s="578">
        <f t="shared" si="38"/>
        <v>100.01771703366236</v>
      </c>
      <c r="AE87" s="4" t="s">
        <v>924</v>
      </c>
    </row>
    <row r="88" spans="1:31" s="514" customFormat="1" ht="28.5" customHeight="1">
      <c r="A88" s="509"/>
      <c r="B88" s="509">
        <v>75831</v>
      </c>
      <c r="C88" s="509"/>
      <c r="D88" s="510" t="s">
        <v>349</v>
      </c>
      <c r="E88" s="552">
        <f aca="true" t="shared" si="41" ref="E88:AB88">E89</f>
        <v>67125</v>
      </c>
      <c r="F88" s="554">
        <f t="shared" si="41"/>
        <v>2164</v>
      </c>
      <c r="G88" s="553">
        <f t="shared" si="41"/>
        <v>-2164</v>
      </c>
      <c r="H88" s="554">
        <f t="shared" si="41"/>
        <v>0</v>
      </c>
      <c r="I88" s="554">
        <f t="shared" si="41"/>
        <v>0</v>
      </c>
      <c r="J88" s="554">
        <f t="shared" si="41"/>
        <v>0</v>
      </c>
      <c r="K88" s="554">
        <f t="shared" si="41"/>
        <v>0</v>
      </c>
      <c r="L88" s="554">
        <f t="shared" si="41"/>
        <v>0</v>
      </c>
      <c r="M88" s="554">
        <f t="shared" si="41"/>
        <v>0</v>
      </c>
      <c r="N88" s="554">
        <f t="shared" si="41"/>
        <v>0</v>
      </c>
      <c r="O88" s="555">
        <f t="shared" si="41"/>
        <v>67125</v>
      </c>
      <c r="P88" s="552">
        <f t="shared" si="41"/>
        <v>5594</v>
      </c>
      <c r="Q88" s="552">
        <f t="shared" si="41"/>
        <v>5954</v>
      </c>
      <c r="R88" s="552">
        <f t="shared" si="41"/>
        <v>5234</v>
      </c>
      <c r="S88" s="552">
        <f t="shared" si="41"/>
        <v>5594</v>
      </c>
      <c r="T88" s="552">
        <f t="shared" si="41"/>
        <v>5594</v>
      </c>
      <c r="U88" s="552">
        <f t="shared" si="41"/>
        <v>5594</v>
      </c>
      <c r="V88" s="552">
        <f t="shared" si="41"/>
        <v>5594</v>
      </c>
      <c r="W88" s="552">
        <f t="shared" si="41"/>
        <v>5594</v>
      </c>
      <c r="X88" s="552">
        <f t="shared" si="41"/>
        <v>5594</v>
      </c>
      <c r="Y88" s="552">
        <f t="shared" si="41"/>
        <v>5594</v>
      </c>
      <c r="Z88" s="552">
        <f t="shared" si="41"/>
        <v>5594</v>
      </c>
      <c r="AA88" s="552">
        <f t="shared" si="41"/>
        <v>5591</v>
      </c>
      <c r="AB88" s="552">
        <f t="shared" si="41"/>
        <v>0</v>
      </c>
      <c r="AC88" s="552">
        <f>AC89</f>
        <v>67125</v>
      </c>
      <c r="AD88" s="13">
        <f>AC88*100/O88</f>
        <v>100</v>
      </c>
      <c r="AE88" s="769" t="s">
        <v>926</v>
      </c>
    </row>
    <row r="89" spans="1:31" s="514" customFormat="1" ht="30.75" customHeight="1">
      <c r="A89" s="509"/>
      <c r="B89" s="142"/>
      <c r="C89" s="142">
        <v>2920</v>
      </c>
      <c r="D89" s="10" t="s">
        <v>345</v>
      </c>
      <c r="E89" s="556">
        <v>67125</v>
      </c>
      <c r="F89" s="558">
        <v>2164</v>
      </c>
      <c r="G89" s="557">
        <v>-2164</v>
      </c>
      <c r="H89" s="558"/>
      <c r="I89" s="558"/>
      <c r="J89" s="558"/>
      <c r="K89" s="558"/>
      <c r="L89" s="558"/>
      <c r="M89" s="558"/>
      <c r="N89" s="558"/>
      <c r="O89" s="537">
        <f t="shared" si="37"/>
        <v>67125</v>
      </c>
      <c r="P89" s="556">
        <v>5594</v>
      </c>
      <c r="Q89" s="556">
        <v>5954</v>
      </c>
      <c r="R89" s="556">
        <v>5234</v>
      </c>
      <c r="S89" s="556">
        <v>5594</v>
      </c>
      <c r="T89" s="556">
        <v>5594</v>
      </c>
      <c r="U89" s="556">
        <v>5594</v>
      </c>
      <c r="V89" s="556">
        <v>5594</v>
      </c>
      <c r="W89" s="556">
        <v>5594</v>
      </c>
      <c r="X89" s="556">
        <v>5594</v>
      </c>
      <c r="Y89" s="556">
        <v>5594</v>
      </c>
      <c r="Z89" s="556">
        <v>5594</v>
      </c>
      <c r="AA89" s="556">
        <v>5591</v>
      </c>
      <c r="AB89" s="556"/>
      <c r="AC89" s="4">
        <f>SUM(P89:AB89)</f>
        <v>67125</v>
      </c>
      <c r="AD89" s="6">
        <f>AC89*100/O89</f>
        <v>100</v>
      </c>
      <c r="AE89" s="770"/>
    </row>
    <row r="90" spans="1:31" s="514" customFormat="1" ht="11.25">
      <c r="A90" s="565">
        <v>801</v>
      </c>
      <c r="B90" s="565"/>
      <c r="C90" s="565"/>
      <c r="D90" s="548" t="s">
        <v>350</v>
      </c>
      <c r="E90" s="549">
        <f>E91+E94+E98+E101+E103+E106</f>
        <v>136000</v>
      </c>
      <c r="F90" s="551">
        <f>F91+F94+F98+F101+F103</f>
        <v>2522745</v>
      </c>
      <c r="G90" s="551">
        <f>G91+G94+G98+G101+G103</f>
        <v>0</v>
      </c>
      <c r="H90" s="551">
        <f>H91+H94+H103+H98+H101+H106</f>
        <v>11190</v>
      </c>
      <c r="I90" s="551">
        <f>I91+I94+I98+I101+I103+I106</f>
        <v>14067</v>
      </c>
      <c r="J90" s="551">
        <f>J91+J94+J98+J101+J103+J106</f>
        <v>0</v>
      </c>
      <c r="K90" s="551">
        <f>K91+K94+K98+K101+K103</f>
        <v>14720</v>
      </c>
      <c r="L90" s="551">
        <f>L91+L94+L98+L101+L103+L106</f>
        <v>14067</v>
      </c>
      <c r="M90" s="551">
        <f>M91+M94+M98+M101+M103+M106</f>
        <v>8212</v>
      </c>
      <c r="N90" s="551">
        <f>N91+N94+N98+N101+N103+N106</f>
        <v>21932</v>
      </c>
      <c r="O90" s="549">
        <f>O91+O94+O98+O101+O103+O106</f>
        <v>2742933</v>
      </c>
      <c r="P90" s="549">
        <f>P91+P94+P98+P101+P103</f>
        <v>8520</v>
      </c>
      <c r="Q90" s="549">
        <f aca="true" t="shared" si="42" ref="Q90:W90">Q91+Q94+Q98+Q101+Q103</f>
        <v>8600</v>
      </c>
      <c r="R90" s="549">
        <f t="shared" si="42"/>
        <v>2532568.0100000002</v>
      </c>
      <c r="S90" s="549">
        <f t="shared" si="42"/>
        <v>10380</v>
      </c>
      <c r="T90" s="549">
        <f>T91+T94+T98+T101+T103</f>
        <v>20466.05</v>
      </c>
      <c r="U90" s="549">
        <f>U91+U94+U98+U101+U103+U106</f>
        <v>34403.05</v>
      </c>
      <c r="V90" s="549">
        <f t="shared" si="42"/>
        <v>6591.48</v>
      </c>
      <c r="W90" s="549">
        <f t="shared" si="42"/>
        <v>7523.89</v>
      </c>
      <c r="X90" s="549">
        <f aca="true" t="shared" si="43" ref="X90:AC90">X91+X94+X98+X101+X103+X106</f>
        <v>13145.83</v>
      </c>
      <c r="Y90" s="549">
        <f t="shared" si="43"/>
        <v>29948.65</v>
      </c>
      <c r="Z90" s="549">
        <f t="shared" si="43"/>
        <v>23215.17</v>
      </c>
      <c r="AA90" s="549">
        <f t="shared" si="43"/>
        <v>36755.130000000005</v>
      </c>
      <c r="AB90" s="549">
        <f t="shared" si="43"/>
        <v>0</v>
      </c>
      <c r="AC90" s="549">
        <f t="shared" si="43"/>
        <v>2732117.2600000002</v>
      </c>
      <c r="AD90" s="3">
        <f t="shared" si="38"/>
        <v>99.60568705105082</v>
      </c>
      <c r="AE90" s="549"/>
    </row>
    <row r="91" spans="1:31" s="514" customFormat="1" ht="11.25">
      <c r="A91" s="513"/>
      <c r="B91" s="513">
        <v>80101</v>
      </c>
      <c r="C91" s="513"/>
      <c r="D91" s="510" t="s">
        <v>351</v>
      </c>
      <c r="E91" s="552">
        <f>E92</f>
        <v>12000</v>
      </c>
      <c r="F91" s="554">
        <f>F92</f>
        <v>0</v>
      </c>
      <c r="G91" s="554">
        <f>G92</f>
        <v>0</v>
      </c>
      <c r="H91" s="554">
        <f aca="true" t="shared" si="44" ref="H91:O91">H92+H93</f>
        <v>21890</v>
      </c>
      <c r="I91" s="554">
        <f t="shared" si="44"/>
        <v>0</v>
      </c>
      <c r="J91" s="554">
        <f t="shared" si="44"/>
        <v>0</v>
      </c>
      <c r="K91" s="554">
        <f t="shared" si="44"/>
        <v>14620</v>
      </c>
      <c r="L91" s="554">
        <f t="shared" si="44"/>
        <v>0</v>
      </c>
      <c r="M91" s="554">
        <f>M92+M93</f>
        <v>0</v>
      </c>
      <c r="N91" s="554">
        <f>N92+N93</f>
        <v>3620</v>
      </c>
      <c r="O91" s="555">
        <f t="shared" si="44"/>
        <v>52130</v>
      </c>
      <c r="P91" s="552">
        <f>P92</f>
        <v>0</v>
      </c>
      <c r="Q91" s="552">
        <f>Q92</f>
        <v>0</v>
      </c>
      <c r="R91" s="552">
        <f>R92</f>
        <v>0</v>
      </c>
      <c r="S91" s="552">
        <f>S92</f>
        <v>0</v>
      </c>
      <c r="T91" s="552">
        <f>T92+T93</f>
        <v>7526</v>
      </c>
      <c r="U91" s="552">
        <f>U92+U93</f>
        <v>10612.51</v>
      </c>
      <c r="V91" s="552">
        <f>V92</f>
        <v>4191.48</v>
      </c>
      <c r="W91" s="552">
        <f>W92+W93</f>
        <v>5323.89</v>
      </c>
      <c r="X91" s="552">
        <f>X92+X93</f>
        <v>3655</v>
      </c>
      <c r="Y91" s="552">
        <f>Y92</f>
        <v>4192.65</v>
      </c>
      <c r="Z91" s="552">
        <f>Z92+Z93</f>
        <v>3655</v>
      </c>
      <c r="AA91" s="552">
        <f>AA92+AA93</f>
        <v>1740.5899999999997</v>
      </c>
      <c r="AB91" s="552">
        <f>AB92+AB93</f>
        <v>0</v>
      </c>
      <c r="AC91" s="552">
        <f>AC92+AC93</f>
        <v>40897.119999999995</v>
      </c>
      <c r="AD91" s="13">
        <f t="shared" si="38"/>
        <v>78.45217724918471</v>
      </c>
      <c r="AE91" s="552"/>
    </row>
    <row r="92" spans="1:31" s="572" customFormat="1" ht="36" customHeight="1">
      <c r="A92" s="568"/>
      <c r="B92" s="568"/>
      <c r="C92" s="579" t="s">
        <v>96</v>
      </c>
      <c r="D92" s="545" t="s">
        <v>97</v>
      </c>
      <c r="E92" s="569">
        <v>12000</v>
      </c>
      <c r="F92" s="571"/>
      <c r="G92" s="571"/>
      <c r="H92" s="571">
        <v>6840</v>
      </c>
      <c r="I92" s="571"/>
      <c r="J92" s="571"/>
      <c r="K92" s="571"/>
      <c r="L92" s="571"/>
      <c r="M92" s="571"/>
      <c r="N92" s="571">
        <v>3620</v>
      </c>
      <c r="O92" s="537">
        <f aca="true" t="shared" si="45" ref="O92:O100">E92+F92+G92+H92+I92+J92+K92+L92+M92+N92</f>
        <v>22460</v>
      </c>
      <c r="P92" s="569"/>
      <c r="Q92" s="569"/>
      <c r="R92" s="569"/>
      <c r="S92" s="569"/>
      <c r="T92" s="569"/>
      <c r="U92" s="569">
        <v>6848.51</v>
      </c>
      <c r="V92" s="569">
        <v>4191.48</v>
      </c>
      <c r="W92" s="569">
        <v>1563.89</v>
      </c>
      <c r="X92" s="569"/>
      <c r="Y92" s="569">
        <v>4192.65</v>
      </c>
      <c r="Z92" s="569"/>
      <c r="AA92" s="569">
        <v>5659.48</v>
      </c>
      <c r="AB92" s="569"/>
      <c r="AC92" s="4">
        <f>SUM(P92:AB92)</f>
        <v>22456.01</v>
      </c>
      <c r="AD92" s="578">
        <f t="shared" si="38"/>
        <v>99.98223508459483</v>
      </c>
      <c r="AE92" s="2" t="s">
        <v>352</v>
      </c>
    </row>
    <row r="93" spans="1:31" s="572" customFormat="1" ht="78.75">
      <c r="A93" s="568"/>
      <c r="B93" s="568"/>
      <c r="C93" s="579">
        <v>2030</v>
      </c>
      <c r="D93" s="545" t="s">
        <v>353</v>
      </c>
      <c r="E93" s="569"/>
      <c r="F93" s="571"/>
      <c r="G93" s="571"/>
      <c r="H93" s="571">
        <v>15050</v>
      </c>
      <c r="I93" s="571"/>
      <c r="J93" s="571"/>
      <c r="K93" s="571">
        <v>14620</v>
      </c>
      <c r="L93" s="571"/>
      <c r="M93" s="571"/>
      <c r="N93" s="571"/>
      <c r="O93" s="537">
        <f t="shared" si="45"/>
        <v>29670</v>
      </c>
      <c r="P93" s="569"/>
      <c r="Q93" s="569"/>
      <c r="R93" s="569"/>
      <c r="S93" s="569"/>
      <c r="T93" s="569">
        <v>7526</v>
      </c>
      <c r="U93" s="569">
        <v>3764</v>
      </c>
      <c r="V93" s="569"/>
      <c r="W93" s="569">
        <v>3760</v>
      </c>
      <c r="X93" s="569">
        <v>3655</v>
      </c>
      <c r="Y93" s="569"/>
      <c r="Z93" s="569">
        <v>3655</v>
      </c>
      <c r="AA93" s="570">
        <v>-3918.89</v>
      </c>
      <c r="AB93" s="569"/>
      <c r="AC93" s="4">
        <f>SUM(P93:AB93)</f>
        <v>18441.11</v>
      </c>
      <c r="AD93" s="578">
        <f t="shared" si="38"/>
        <v>62.15406134142231</v>
      </c>
      <c r="AE93" s="9" t="s">
        <v>927</v>
      </c>
    </row>
    <row r="94" spans="1:31" s="514" customFormat="1" ht="11.25">
      <c r="A94" s="513"/>
      <c r="B94" s="513">
        <v>80104</v>
      </c>
      <c r="C94" s="513"/>
      <c r="D94" s="561" t="s">
        <v>354</v>
      </c>
      <c r="E94" s="552">
        <f>SUM(E95:E97)</f>
        <v>113100</v>
      </c>
      <c r="F94" s="554">
        <f aca="true" t="shared" si="46" ref="F94:K94">F95+F96+F97</f>
        <v>0</v>
      </c>
      <c r="G94" s="554">
        <f t="shared" si="46"/>
        <v>0</v>
      </c>
      <c r="H94" s="554">
        <f t="shared" si="46"/>
        <v>0</v>
      </c>
      <c r="I94" s="554">
        <f t="shared" si="46"/>
        <v>0</v>
      </c>
      <c r="J94" s="554">
        <f t="shared" si="46"/>
        <v>0</v>
      </c>
      <c r="K94" s="554">
        <f t="shared" si="46"/>
        <v>0</v>
      </c>
      <c r="L94" s="554">
        <f>L95+L96+L97</f>
        <v>0</v>
      </c>
      <c r="M94" s="554">
        <f>M95+M96+M97</f>
        <v>0</v>
      </c>
      <c r="N94" s="553">
        <f>N95+N96+N97</f>
        <v>-5378</v>
      </c>
      <c r="O94" s="555">
        <f>SUM(O95:O97)</f>
        <v>107722</v>
      </c>
      <c r="P94" s="552">
        <f>P95+P96+P97</f>
        <v>8520</v>
      </c>
      <c r="Q94" s="552">
        <f aca="true" t="shared" si="47" ref="Q94:AA94">Q95+Q96+Q97</f>
        <v>8600</v>
      </c>
      <c r="R94" s="552">
        <f t="shared" si="47"/>
        <v>9802.68</v>
      </c>
      <c r="S94" s="552">
        <f t="shared" si="47"/>
        <v>10280</v>
      </c>
      <c r="T94" s="552">
        <f t="shared" si="47"/>
        <v>12940.05</v>
      </c>
      <c r="U94" s="552">
        <f t="shared" si="47"/>
        <v>9560</v>
      </c>
      <c r="V94" s="552">
        <f t="shared" si="47"/>
        <v>2400</v>
      </c>
      <c r="W94" s="552">
        <f t="shared" si="47"/>
        <v>2200</v>
      </c>
      <c r="X94" s="552">
        <f t="shared" si="47"/>
        <v>9409</v>
      </c>
      <c r="Y94" s="552">
        <f t="shared" si="47"/>
        <v>11689</v>
      </c>
      <c r="Z94" s="552">
        <f>Z95+Z96+Z97</f>
        <v>11348.17</v>
      </c>
      <c r="AA94" s="552">
        <f t="shared" si="47"/>
        <v>11391.68</v>
      </c>
      <c r="AB94" s="552">
        <f>AB95+AB96+AB97</f>
        <v>0</v>
      </c>
      <c r="AC94" s="552">
        <f>AC95+AC96+AC97</f>
        <v>108140.58000000002</v>
      </c>
      <c r="AD94" s="13">
        <f t="shared" si="38"/>
        <v>100.38857429308779</v>
      </c>
      <c r="AE94" s="552"/>
    </row>
    <row r="95" spans="1:31" s="514" customFormat="1" ht="11.25">
      <c r="A95" s="513"/>
      <c r="B95" s="513"/>
      <c r="C95" s="533" t="s">
        <v>355</v>
      </c>
      <c r="D95" s="10" t="s">
        <v>356</v>
      </c>
      <c r="E95" s="556">
        <v>100000</v>
      </c>
      <c r="F95" s="558"/>
      <c r="G95" s="558"/>
      <c r="H95" s="558"/>
      <c r="I95" s="558"/>
      <c r="J95" s="558"/>
      <c r="K95" s="558"/>
      <c r="L95" s="558"/>
      <c r="M95" s="558"/>
      <c r="N95" s="558"/>
      <c r="O95" s="537">
        <f t="shared" si="45"/>
        <v>100000</v>
      </c>
      <c r="P95" s="556">
        <v>7880</v>
      </c>
      <c r="Q95" s="556">
        <v>8600</v>
      </c>
      <c r="R95" s="556">
        <v>8560</v>
      </c>
      <c r="S95" s="556">
        <v>9640</v>
      </c>
      <c r="T95" s="556">
        <v>12300.05</v>
      </c>
      <c r="U95" s="556">
        <v>8920</v>
      </c>
      <c r="V95" s="556">
        <v>1760</v>
      </c>
      <c r="W95" s="556">
        <v>1560</v>
      </c>
      <c r="X95" s="556">
        <v>8769</v>
      </c>
      <c r="Y95" s="556">
        <v>11049</v>
      </c>
      <c r="Z95" s="556">
        <v>10729</v>
      </c>
      <c r="AA95" s="556">
        <v>10751.68</v>
      </c>
      <c r="AB95" s="556"/>
      <c r="AC95" s="4">
        <f>SUM(P95:AB95)</f>
        <v>100518.73000000001</v>
      </c>
      <c r="AD95" s="6">
        <f t="shared" si="38"/>
        <v>100.51873000000002</v>
      </c>
      <c r="AE95" s="2" t="s">
        <v>357</v>
      </c>
    </row>
    <row r="96" spans="1:31" s="514" customFormat="1" ht="33.75">
      <c r="A96" s="513"/>
      <c r="B96" s="513"/>
      <c r="C96" s="533" t="s">
        <v>119</v>
      </c>
      <c r="D96" s="10" t="s">
        <v>120</v>
      </c>
      <c r="E96" s="556">
        <v>100</v>
      </c>
      <c r="F96" s="558"/>
      <c r="G96" s="558"/>
      <c r="H96" s="558"/>
      <c r="I96" s="558"/>
      <c r="J96" s="558"/>
      <c r="K96" s="558"/>
      <c r="L96" s="558"/>
      <c r="M96" s="558"/>
      <c r="N96" s="558"/>
      <c r="O96" s="537">
        <f t="shared" si="45"/>
        <v>100</v>
      </c>
      <c r="P96" s="556"/>
      <c r="Q96" s="556"/>
      <c r="R96" s="556"/>
      <c r="S96" s="556"/>
      <c r="T96" s="556"/>
      <c r="U96" s="556"/>
      <c r="V96" s="556"/>
      <c r="W96" s="556"/>
      <c r="X96" s="556"/>
      <c r="Y96" s="556"/>
      <c r="Z96" s="556"/>
      <c r="AA96" s="556"/>
      <c r="AB96" s="556"/>
      <c r="AC96" s="4">
        <f>SUM(P96:AB96)</f>
        <v>0</v>
      </c>
      <c r="AD96" s="6">
        <f t="shared" si="38"/>
        <v>0</v>
      </c>
      <c r="AE96" s="4"/>
    </row>
    <row r="97" spans="1:31" s="514" customFormat="1" ht="22.5">
      <c r="A97" s="513"/>
      <c r="B97" s="513"/>
      <c r="C97" s="579" t="s">
        <v>96</v>
      </c>
      <c r="D97" s="545" t="s">
        <v>97</v>
      </c>
      <c r="E97" s="556">
        <v>13000</v>
      </c>
      <c r="F97" s="558"/>
      <c r="G97" s="558"/>
      <c r="H97" s="558"/>
      <c r="I97" s="558"/>
      <c r="J97" s="558"/>
      <c r="K97" s="558"/>
      <c r="L97" s="558"/>
      <c r="M97" s="558"/>
      <c r="N97" s="557">
        <v>-5378</v>
      </c>
      <c r="O97" s="537">
        <f t="shared" si="45"/>
        <v>7622</v>
      </c>
      <c r="P97" s="556">
        <v>640</v>
      </c>
      <c r="Q97" s="556"/>
      <c r="R97" s="556">
        <v>1242.68</v>
      </c>
      <c r="S97" s="556">
        <v>640</v>
      </c>
      <c r="T97" s="556">
        <v>640</v>
      </c>
      <c r="U97" s="556">
        <v>640</v>
      </c>
      <c r="V97" s="556">
        <v>640</v>
      </c>
      <c r="W97" s="556">
        <v>640</v>
      </c>
      <c r="X97" s="556">
        <v>640</v>
      </c>
      <c r="Y97" s="556">
        <v>640</v>
      </c>
      <c r="Z97" s="556">
        <v>619.17</v>
      </c>
      <c r="AA97" s="556">
        <v>640</v>
      </c>
      <c r="AB97" s="556"/>
      <c r="AC97" s="4">
        <f>SUM(P97:AB97)</f>
        <v>7621.85</v>
      </c>
      <c r="AD97" s="6">
        <f t="shared" si="38"/>
        <v>99.99803201259512</v>
      </c>
      <c r="AE97" s="4" t="s">
        <v>358</v>
      </c>
    </row>
    <row r="98" spans="1:31" s="514" customFormat="1" ht="11.25">
      <c r="A98" s="513"/>
      <c r="B98" s="509">
        <v>80110</v>
      </c>
      <c r="C98" s="509"/>
      <c r="D98" s="510" t="s">
        <v>359</v>
      </c>
      <c r="E98" s="552">
        <f>E99+E100</f>
        <v>0</v>
      </c>
      <c r="F98" s="554">
        <f aca="true" t="shared" si="48" ref="F98:AA98">F99+F100</f>
        <v>2522745</v>
      </c>
      <c r="G98" s="554">
        <f t="shared" si="48"/>
        <v>0</v>
      </c>
      <c r="H98" s="554">
        <f t="shared" si="48"/>
        <v>0</v>
      </c>
      <c r="I98" s="554">
        <f t="shared" si="48"/>
        <v>0</v>
      </c>
      <c r="J98" s="554">
        <f t="shared" si="48"/>
        <v>0</v>
      </c>
      <c r="K98" s="554">
        <f t="shared" si="48"/>
        <v>0</v>
      </c>
      <c r="L98" s="554">
        <f>L99+L100</f>
        <v>0</v>
      </c>
      <c r="M98" s="554">
        <f>M99+M100</f>
        <v>0</v>
      </c>
      <c r="N98" s="554">
        <f>N99+N100</f>
        <v>0</v>
      </c>
      <c r="O98" s="555">
        <f>O99+O100</f>
        <v>2522745</v>
      </c>
      <c r="P98" s="552">
        <f t="shared" si="48"/>
        <v>0</v>
      </c>
      <c r="Q98" s="552">
        <f t="shared" si="48"/>
        <v>0</v>
      </c>
      <c r="R98" s="552">
        <f t="shared" si="48"/>
        <v>2522745.1</v>
      </c>
      <c r="S98" s="552">
        <f t="shared" si="48"/>
        <v>0</v>
      </c>
      <c r="T98" s="552">
        <f t="shared" si="48"/>
        <v>0</v>
      </c>
      <c r="U98" s="552">
        <f t="shared" si="48"/>
        <v>0</v>
      </c>
      <c r="V98" s="552">
        <f t="shared" si="48"/>
        <v>0</v>
      </c>
      <c r="W98" s="552">
        <f t="shared" si="48"/>
        <v>0</v>
      </c>
      <c r="X98" s="552">
        <f t="shared" si="48"/>
        <v>0</v>
      </c>
      <c r="Y98" s="552">
        <f t="shared" si="48"/>
        <v>0</v>
      </c>
      <c r="Z98" s="552">
        <f t="shared" si="48"/>
        <v>0</v>
      </c>
      <c r="AA98" s="552">
        <f t="shared" si="48"/>
        <v>0</v>
      </c>
      <c r="AB98" s="552">
        <f>AB99+AB100</f>
        <v>0</v>
      </c>
      <c r="AC98" s="552">
        <f>AC99+AC100</f>
        <v>2522745.1</v>
      </c>
      <c r="AD98" s="13">
        <f t="shared" si="38"/>
        <v>100.00000396393611</v>
      </c>
      <c r="AE98" s="552"/>
    </row>
    <row r="99" spans="1:31" s="514" customFormat="1" ht="55.5" customHeight="1">
      <c r="A99" s="513"/>
      <c r="B99" s="513"/>
      <c r="C99" s="533">
        <v>6298</v>
      </c>
      <c r="D99" s="10" t="s">
        <v>360</v>
      </c>
      <c r="E99" s="556"/>
      <c r="F99" s="558">
        <v>2225952</v>
      </c>
      <c r="G99" s="558"/>
      <c r="H99" s="558"/>
      <c r="I99" s="558"/>
      <c r="J99" s="558"/>
      <c r="K99" s="558"/>
      <c r="L99" s="558"/>
      <c r="M99" s="558"/>
      <c r="N99" s="558"/>
      <c r="O99" s="537">
        <f t="shared" si="45"/>
        <v>2225952</v>
      </c>
      <c r="P99" s="556"/>
      <c r="Q99" s="556"/>
      <c r="R99" s="556">
        <v>2225952.1</v>
      </c>
      <c r="S99" s="556"/>
      <c r="T99" s="556"/>
      <c r="U99" s="556"/>
      <c r="V99" s="556"/>
      <c r="W99" s="556"/>
      <c r="X99" s="556"/>
      <c r="Y99" s="556"/>
      <c r="Z99" s="556"/>
      <c r="AA99" s="556"/>
      <c r="AB99" s="556"/>
      <c r="AC99" s="4">
        <f>SUM(P99:AB99)</f>
        <v>2225952.1</v>
      </c>
      <c r="AD99" s="6">
        <f t="shared" si="38"/>
        <v>100.00000449245985</v>
      </c>
      <c r="AE99" s="6" t="s">
        <v>361</v>
      </c>
    </row>
    <row r="100" spans="1:31" s="514" customFormat="1" ht="56.25" customHeight="1">
      <c r="A100" s="513"/>
      <c r="B100" s="513"/>
      <c r="C100" s="533">
        <v>6339</v>
      </c>
      <c r="D100" s="10" t="s">
        <v>362</v>
      </c>
      <c r="E100" s="556"/>
      <c r="F100" s="558">
        <v>296793</v>
      </c>
      <c r="G100" s="558"/>
      <c r="H100" s="558"/>
      <c r="I100" s="558"/>
      <c r="J100" s="558"/>
      <c r="K100" s="558"/>
      <c r="L100" s="558"/>
      <c r="M100" s="558"/>
      <c r="N100" s="558"/>
      <c r="O100" s="537">
        <f t="shared" si="45"/>
        <v>296793</v>
      </c>
      <c r="P100" s="556"/>
      <c r="Q100" s="556"/>
      <c r="R100" s="556">
        <v>296793</v>
      </c>
      <c r="S100" s="556"/>
      <c r="T100" s="556"/>
      <c r="U100" s="556"/>
      <c r="V100" s="556"/>
      <c r="W100" s="556"/>
      <c r="X100" s="556"/>
      <c r="Y100" s="556"/>
      <c r="Z100" s="556"/>
      <c r="AA100" s="556"/>
      <c r="AB100" s="556"/>
      <c r="AC100" s="4">
        <f>SUM(P100:AB100)</f>
        <v>296793</v>
      </c>
      <c r="AD100" s="6">
        <f>AC100*100/O100</f>
        <v>100</v>
      </c>
      <c r="AE100" s="6" t="s">
        <v>363</v>
      </c>
    </row>
    <row r="101" spans="1:31" s="514" customFormat="1" ht="53.25" customHeight="1" hidden="1">
      <c r="A101" s="513"/>
      <c r="B101" s="509">
        <v>80113</v>
      </c>
      <c r="C101" s="509"/>
      <c r="D101" s="510" t="s">
        <v>364</v>
      </c>
      <c r="E101" s="552">
        <f aca="true" t="shared" si="49" ref="E101:AB101">E102</f>
        <v>0</v>
      </c>
      <c r="F101" s="554">
        <f t="shared" si="49"/>
        <v>0</v>
      </c>
      <c r="G101" s="554">
        <f t="shared" si="49"/>
        <v>0</v>
      </c>
      <c r="H101" s="554">
        <f t="shared" si="49"/>
        <v>0</v>
      </c>
      <c r="I101" s="554">
        <f t="shared" si="49"/>
        <v>0</v>
      </c>
      <c r="J101" s="554">
        <f t="shared" si="49"/>
        <v>0</v>
      </c>
      <c r="K101" s="554">
        <f t="shared" si="49"/>
        <v>0</v>
      </c>
      <c r="L101" s="554">
        <f t="shared" si="49"/>
        <v>0</v>
      </c>
      <c r="M101" s="554">
        <f t="shared" si="49"/>
        <v>0</v>
      </c>
      <c r="N101" s="554">
        <f t="shared" si="49"/>
        <v>0</v>
      </c>
      <c r="O101" s="555">
        <f t="shared" si="49"/>
        <v>0</v>
      </c>
      <c r="P101" s="552">
        <f t="shared" si="49"/>
        <v>0</v>
      </c>
      <c r="Q101" s="552">
        <f t="shared" si="49"/>
        <v>0</v>
      </c>
      <c r="R101" s="552">
        <f t="shared" si="49"/>
        <v>0</v>
      </c>
      <c r="S101" s="552">
        <f t="shared" si="49"/>
        <v>0</v>
      </c>
      <c r="T101" s="552">
        <f t="shared" si="49"/>
        <v>0</v>
      </c>
      <c r="U101" s="552">
        <f t="shared" si="49"/>
        <v>0</v>
      </c>
      <c r="V101" s="552">
        <f t="shared" si="49"/>
        <v>0</v>
      </c>
      <c r="W101" s="552">
        <f t="shared" si="49"/>
        <v>0</v>
      </c>
      <c r="X101" s="552">
        <f t="shared" si="49"/>
        <v>0</v>
      </c>
      <c r="Y101" s="552">
        <f t="shared" si="49"/>
        <v>0</v>
      </c>
      <c r="Z101" s="552">
        <f t="shared" si="49"/>
        <v>0</v>
      </c>
      <c r="AA101" s="552">
        <f t="shared" si="49"/>
        <v>0</v>
      </c>
      <c r="AB101" s="552">
        <f t="shared" si="49"/>
        <v>0</v>
      </c>
      <c r="AC101" s="552">
        <f>AC102</f>
        <v>0</v>
      </c>
      <c r="AD101" s="6" t="e">
        <f t="shared" si="38"/>
        <v>#DIV/0!</v>
      </c>
      <c r="AE101" s="552"/>
    </row>
    <row r="102" spans="1:31" s="514" customFormat="1" ht="53.25" customHeight="1" hidden="1">
      <c r="A102" s="513"/>
      <c r="B102" s="513"/>
      <c r="C102" s="579" t="s">
        <v>96</v>
      </c>
      <c r="D102" s="545" t="s">
        <v>97</v>
      </c>
      <c r="E102" s="556"/>
      <c r="F102" s="558"/>
      <c r="G102" s="558"/>
      <c r="H102" s="558"/>
      <c r="I102" s="558"/>
      <c r="J102" s="558"/>
      <c r="K102" s="558"/>
      <c r="L102" s="558"/>
      <c r="M102" s="558"/>
      <c r="N102" s="558"/>
      <c r="O102" s="537">
        <f>E102+F102+G102+H102+I102+J102+K102</f>
        <v>0</v>
      </c>
      <c r="P102" s="556"/>
      <c r="Q102" s="556"/>
      <c r="R102" s="556"/>
      <c r="S102" s="556"/>
      <c r="T102" s="556"/>
      <c r="U102" s="556"/>
      <c r="V102" s="556"/>
      <c r="W102" s="556"/>
      <c r="X102" s="556"/>
      <c r="Y102" s="556"/>
      <c r="Z102" s="556"/>
      <c r="AA102" s="556"/>
      <c r="AB102" s="556"/>
      <c r="AC102" s="4">
        <f>SUM(P102:AA102)</f>
        <v>0</v>
      </c>
      <c r="AD102" s="6" t="e">
        <f t="shared" si="38"/>
        <v>#DIV/0!</v>
      </c>
      <c r="AE102" s="4"/>
    </row>
    <row r="103" spans="1:31" s="514" customFormat="1" ht="26.25" customHeight="1">
      <c r="A103" s="513"/>
      <c r="B103" s="509">
        <v>80114</v>
      </c>
      <c r="C103" s="509"/>
      <c r="D103" s="510" t="s">
        <v>365</v>
      </c>
      <c r="E103" s="552">
        <f>E104+E105</f>
        <v>10900</v>
      </c>
      <c r="F103" s="554">
        <f>F104+F105</f>
        <v>0</v>
      </c>
      <c r="G103" s="554">
        <f>G104+G105</f>
        <v>0</v>
      </c>
      <c r="H103" s="553">
        <f aca="true" t="shared" si="50" ref="H103:AA103">H104+H105</f>
        <v>-10700</v>
      </c>
      <c r="I103" s="554">
        <f t="shared" si="50"/>
        <v>0</v>
      </c>
      <c r="J103" s="554">
        <f t="shared" si="50"/>
        <v>0</v>
      </c>
      <c r="K103" s="554">
        <f t="shared" si="50"/>
        <v>100</v>
      </c>
      <c r="L103" s="554">
        <f>L104+L105</f>
        <v>0</v>
      </c>
      <c r="M103" s="554">
        <f>M104+M105</f>
        <v>0</v>
      </c>
      <c r="N103" s="554">
        <f>N104+N105</f>
        <v>300</v>
      </c>
      <c r="O103" s="555">
        <f>O104+O105</f>
        <v>600</v>
      </c>
      <c r="P103" s="552">
        <f t="shared" si="50"/>
        <v>0</v>
      </c>
      <c r="Q103" s="552">
        <f t="shared" si="50"/>
        <v>0</v>
      </c>
      <c r="R103" s="552">
        <f t="shared" si="50"/>
        <v>20.23</v>
      </c>
      <c r="S103" s="552">
        <f t="shared" si="50"/>
        <v>100</v>
      </c>
      <c r="T103" s="552">
        <f t="shared" si="50"/>
        <v>0</v>
      </c>
      <c r="U103" s="552">
        <f t="shared" si="50"/>
        <v>163.54</v>
      </c>
      <c r="V103" s="552">
        <f t="shared" si="50"/>
        <v>0</v>
      </c>
      <c r="W103" s="552">
        <f t="shared" si="50"/>
        <v>0</v>
      </c>
      <c r="X103" s="552">
        <f t="shared" si="50"/>
        <v>81.83</v>
      </c>
      <c r="Y103" s="552">
        <f t="shared" si="50"/>
        <v>0</v>
      </c>
      <c r="Z103" s="552">
        <f t="shared" si="50"/>
        <v>0</v>
      </c>
      <c r="AA103" s="552">
        <f t="shared" si="50"/>
        <v>232.86</v>
      </c>
      <c r="AB103" s="552">
        <f>AB104+AB105</f>
        <v>0</v>
      </c>
      <c r="AC103" s="552">
        <f>AC104+AC105</f>
        <v>598.46</v>
      </c>
      <c r="AD103" s="13">
        <f t="shared" si="38"/>
        <v>99.74333333333334</v>
      </c>
      <c r="AE103" s="552"/>
    </row>
    <row r="104" spans="1:31" s="514" customFormat="1" ht="22.5">
      <c r="A104" s="513"/>
      <c r="B104" s="513"/>
      <c r="C104" s="533" t="s">
        <v>122</v>
      </c>
      <c r="D104" s="10" t="s">
        <v>123</v>
      </c>
      <c r="E104" s="556">
        <v>100</v>
      </c>
      <c r="F104" s="558"/>
      <c r="G104" s="558"/>
      <c r="H104" s="557"/>
      <c r="I104" s="558"/>
      <c r="J104" s="558"/>
      <c r="K104" s="558">
        <v>100</v>
      </c>
      <c r="L104" s="558"/>
      <c r="M104" s="558"/>
      <c r="N104" s="558">
        <v>300</v>
      </c>
      <c r="O104" s="537">
        <f>E104+F104+G104+H104+I104+J104+K104+L104+M104+N104</f>
        <v>500</v>
      </c>
      <c r="P104" s="556"/>
      <c r="Q104" s="556"/>
      <c r="R104" s="556">
        <v>20.23</v>
      </c>
      <c r="S104" s="556"/>
      <c r="T104" s="556"/>
      <c r="U104" s="556">
        <v>163.54</v>
      </c>
      <c r="V104" s="556"/>
      <c r="W104" s="556"/>
      <c r="X104" s="556">
        <v>81.83</v>
      </c>
      <c r="Y104" s="556"/>
      <c r="Z104" s="556"/>
      <c r="AA104" s="556">
        <v>232.86</v>
      </c>
      <c r="AB104" s="556"/>
      <c r="AC104" s="4">
        <f>SUM(P104:AB104)</f>
        <v>498.46</v>
      </c>
      <c r="AD104" s="6">
        <f t="shared" si="38"/>
        <v>99.692</v>
      </c>
      <c r="AE104" s="4" t="s">
        <v>952</v>
      </c>
    </row>
    <row r="105" spans="1:31" s="514" customFormat="1" ht="22.5">
      <c r="A105" s="513"/>
      <c r="B105" s="513"/>
      <c r="C105" s="579" t="s">
        <v>96</v>
      </c>
      <c r="D105" s="545" t="s">
        <v>97</v>
      </c>
      <c r="E105" s="556">
        <v>10800</v>
      </c>
      <c r="F105" s="558"/>
      <c r="G105" s="558"/>
      <c r="H105" s="557">
        <v>-10700</v>
      </c>
      <c r="I105" s="558"/>
      <c r="J105" s="557"/>
      <c r="K105" s="558"/>
      <c r="L105" s="558"/>
      <c r="M105" s="558"/>
      <c r="N105" s="558"/>
      <c r="O105" s="537">
        <f>E105+F105+G105+H105+I105+J105+K105+L105+M105+N105</f>
        <v>100</v>
      </c>
      <c r="P105" s="556"/>
      <c r="Q105" s="556"/>
      <c r="R105" s="556"/>
      <c r="S105" s="556">
        <v>100</v>
      </c>
      <c r="T105" s="556"/>
      <c r="U105" s="556"/>
      <c r="V105" s="556"/>
      <c r="W105" s="556"/>
      <c r="X105" s="556"/>
      <c r="Y105" s="556"/>
      <c r="Z105" s="556"/>
      <c r="AA105" s="556"/>
      <c r="AB105" s="556"/>
      <c r="AC105" s="4">
        <f>SUM(P105:AB105)</f>
        <v>100</v>
      </c>
      <c r="AD105" s="6">
        <f t="shared" si="38"/>
        <v>100</v>
      </c>
      <c r="AE105" s="4" t="s">
        <v>953</v>
      </c>
    </row>
    <row r="106" spans="1:31" s="514" customFormat="1" ht="11.25">
      <c r="A106" s="513"/>
      <c r="B106" s="513">
        <v>80195</v>
      </c>
      <c r="C106" s="533"/>
      <c r="D106" s="580" t="s">
        <v>99</v>
      </c>
      <c r="E106" s="552">
        <f>E107</f>
        <v>0</v>
      </c>
      <c r="F106" s="554">
        <f aca="true" t="shared" si="51" ref="F106:AB106">F107</f>
        <v>0</v>
      </c>
      <c r="G106" s="554">
        <f t="shared" si="51"/>
        <v>0</v>
      </c>
      <c r="H106" s="554">
        <f t="shared" si="51"/>
        <v>0</v>
      </c>
      <c r="I106" s="554">
        <f t="shared" si="51"/>
        <v>14067</v>
      </c>
      <c r="J106" s="554">
        <f t="shared" si="51"/>
        <v>0</v>
      </c>
      <c r="K106" s="554">
        <f t="shared" si="51"/>
        <v>0</v>
      </c>
      <c r="L106" s="554">
        <f t="shared" si="51"/>
        <v>14067</v>
      </c>
      <c r="M106" s="554">
        <f t="shared" si="51"/>
        <v>8212</v>
      </c>
      <c r="N106" s="554">
        <f t="shared" si="51"/>
        <v>23390</v>
      </c>
      <c r="O106" s="542">
        <f t="shared" si="51"/>
        <v>59736</v>
      </c>
      <c r="P106" s="552">
        <f t="shared" si="51"/>
        <v>0</v>
      </c>
      <c r="Q106" s="552">
        <f t="shared" si="51"/>
        <v>0</v>
      </c>
      <c r="R106" s="552">
        <f t="shared" si="51"/>
        <v>0</v>
      </c>
      <c r="S106" s="552">
        <f t="shared" si="51"/>
        <v>0</v>
      </c>
      <c r="T106" s="552">
        <f t="shared" si="51"/>
        <v>0</v>
      </c>
      <c r="U106" s="552">
        <f t="shared" si="51"/>
        <v>14067</v>
      </c>
      <c r="V106" s="552">
        <f t="shared" si="51"/>
        <v>0</v>
      </c>
      <c r="W106" s="552">
        <f t="shared" si="51"/>
        <v>0</v>
      </c>
      <c r="X106" s="552">
        <f t="shared" si="51"/>
        <v>0</v>
      </c>
      <c r="Y106" s="552">
        <f t="shared" si="51"/>
        <v>14067</v>
      </c>
      <c r="Z106" s="552">
        <f t="shared" si="51"/>
        <v>8212</v>
      </c>
      <c r="AA106" s="552">
        <f t="shared" si="51"/>
        <v>23390</v>
      </c>
      <c r="AB106" s="552">
        <f t="shared" si="51"/>
        <v>0</v>
      </c>
      <c r="AC106" s="12">
        <f>AC107</f>
        <v>59736</v>
      </c>
      <c r="AD106" s="13">
        <f t="shared" si="38"/>
        <v>100</v>
      </c>
      <c r="AE106" s="12"/>
    </row>
    <row r="107" spans="1:31" s="572" customFormat="1" ht="210" customHeight="1">
      <c r="A107" s="581"/>
      <c r="B107" s="581"/>
      <c r="C107" s="579">
        <v>2030</v>
      </c>
      <c r="D107" s="545" t="s">
        <v>353</v>
      </c>
      <c r="E107" s="569"/>
      <c r="F107" s="571"/>
      <c r="G107" s="571"/>
      <c r="H107" s="571"/>
      <c r="I107" s="571">
        <v>14067</v>
      </c>
      <c r="J107" s="571"/>
      <c r="K107" s="571"/>
      <c r="L107" s="571">
        <v>14067</v>
      </c>
      <c r="M107" s="571">
        <f>360+5622+2230</f>
        <v>8212</v>
      </c>
      <c r="N107" s="571">
        <v>23390</v>
      </c>
      <c r="O107" s="537">
        <f>E107+F107+G107+H107+I107+J107+K107+L107+M107+N107</f>
        <v>59736</v>
      </c>
      <c r="P107" s="569"/>
      <c r="Q107" s="569"/>
      <c r="R107" s="569"/>
      <c r="S107" s="569"/>
      <c r="T107" s="569"/>
      <c r="U107" s="569">
        <v>14067</v>
      </c>
      <c r="V107" s="569"/>
      <c r="W107" s="569"/>
      <c r="X107" s="569"/>
      <c r="Y107" s="569">
        <v>14067</v>
      </c>
      <c r="Z107" s="569">
        <v>8212</v>
      </c>
      <c r="AA107" s="569">
        <v>23390</v>
      </c>
      <c r="AB107" s="569"/>
      <c r="AC107" s="4">
        <f>SUM(P107:AB107)</f>
        <v>59736</v>
      </c>
      <c r="AD107" s="6">
        <f t="shared" si="38"/>
        <v>100</v>
      </c>
      <c r="AE107" s="11" t="s">
        <v>928</v>
      </c>
    </row>
    <row r="108" spans="1:31" s="514" customFormat="1" ht="11.25">
      <c r="A108" s="565">
        <v>852</v>
      </c>
      <c r="B108" s="565"/>
      <c r="C108" s="565"/>
      <c r="D108" s="548" t="s">
        <v>954</v>
      </c>
      <c r="E108" s="549">
        <f>E112+E114+E117+E119+E109+E124</f>
        <v>2477500</v>
      </c>
      <c r="F108" s="550">
        <f aca="true" t="shared" si="52" ref="F108:AA108">F112+F114+F117+F119+F109+F124</f>
        <v>-233500</v>
      </c>
      <c r="G108" s="551">
        <f t="shared" si="52"/>
        <v>2000</v>
      </c>
      <c r="H108" s="551">
        <f t="shared" si="52"/>
        <v>14060</v>
      </c>
      <c r="I108" s="551">
        <f t="shared" si="52"/>
        <v>0</v>
      </c>
      <c r="J108" s="551">
        <f t="shared" si="52"/>
        <v>8341</v>
      </c>
      <c r="K108" s="551">
        <f t="shared" si="52"/>
        <v>0</v>
      </c>
      <c r="L108" s="550">
        <f t="shared" si="52"/>
        <v>-90000</v>
      </c>
      <c r="M108" s="551">
        <f t="shared" si="52"/>
        <v>4358</v>
      </c>
      <c r="N108" s="550">
        <f t="shared" si="52"/>
        <v>-6416</v>
      </c>
      <c r="O108" s="549">
        <f t="shared" si="52"/>
        <v>2176343</v>
      </c>
      <c r="P108" s="549">
        <f t="shared" si="52"/>
        <v>207690</v>
      </c>
      <c r="Q108" s="549">
        <f t="shared" si="52"/>
        <v>215543</v>
      </c>
      <c r="R108" s="549">
        <f t="shared" si="52"/>
        <v>189829.91</v>
      </c>
      <c r="S108" s="549">
        <f t="shared" si="52"/>
        <v>189446</v>
      </c>
      <c r="T108" s="549">
        <f>T112+T114+T117+T119+T109+T124</f>
        <v>189940.67</v>
      </c>
      <c r="U108" s="549">
        <f>U112+U114+U117+U119+U109+U124</f>
        <v>165539.45</v>
      </c>
      <c r="V108" s="549">
        <f t="shared" si="52"/>
        <v>155043</v>
      </c>
      <c r="W108" s="549">
        <f>W112+W114+W117+W119+W109+W124</f>
        <v>317892.8</v>
      </c>
      <c r="X108" s="549">
        <f t="shared" si="52"/>
        <v>16937.85</v>
      </c>
      <c r="Y108" s="549">
        <f t="shared" si="52"/>
        <v>200196</v>
      </c>
      <c r="Z108" s="549">
        <f>Z112+Z114+Z117+Z119+Z109+Z124</f>
        <v>188428.16</v>
      </c>
      <c r="AA108" s="550">
        <f t="shared" si="52"/>
        <v>-88425.67000000001</v>
      </c>
      <c r="AB108" s="549">
        <f>AB112+AB114+AB117+AB119+AB109+AB124</f>
        <v>0</v>
      </c>
      <c r="AC108" s="549">
        <f>AC112+AC114+AC117+AC119+AC109+AC124</f>
        <v>1948061.17</v>
      </c>
      <c r="AD108" s="3">
        <f t="shared" si="38"/>
        <v>89.51076048214827</v>
      </c>
      <c r="AE108" s="549"/>
    </row>
    <row r="109" spans="1:31" s="572" customFormat="1" ht="53.25" customHeight="1">
      <c r="A109" s="568"/>
      <c r="B109" s="509">
        <v>85212</v>
      </c>
      <c r="C109" s="509"/>
      <c r="D109" s="510" t="s">
        <v>955</v>
      </c>
      <c r="E109" s="564">
        <f>E110+E111</f>
        <v>2302100</v>
      </c>
      <c r="F109" s="566">
        <f aca="true" t="shared" si="53" ref="F109:AB109">F110</f>
        <v>-229500</v>
      </c>
      <c r="G109" s="567">
        <f>G110+G111</f>
        <v>2000</v>
      </c>
      <c r="H109" s="567">
        <f t="shared" si="53"/>
        <v>0</v>
      </c>
      <c r="I109" s="567">
        <f t="shared" si="53"/>
        <v>0</v>
      </c>
      <c r="J109" s="567">
        <f t="shared" si="53"/>
        <v>0</v>
      </c>
      <c r="K109" s="567">
        <f t="shared" si="53"/>
        <v>0</v>
      </c>
      <c r="L109" s="566">
        <f t="shared" si="53"/>
        <v>-90000</v>
      </c>
      <c r="M109" s="567">
        <f t="shared" si="53"/>
        <v>0</v>
      </c>
      <c r="N109" s="567">
        <f t="shared" si="53"/>
        <v>0</v>
      </c>
      <c r="O109" s="555">
        <f>O110+O111</f>
        <v>1984600</v>
      </c>
      <c r="P109" s="564">
        <f t="shared" si="53"/>
        <v>191842</v>
      </c>
      <c r="Q109" s="564">
        <f t="shared" si="53"/>
        <v>191842</v>
      </c>
      <c r="R109" s="564">
        <f>R110+R111</f>
        <v>172758.16</v>
      </c>
      <c r="S109" s="564">
        <f t="shared" si="53"/>
        <v>172717</v>
      </c>
      <c r="T109" s="564">
        <f>T110+T111</f>
        <v>173255.67</v>
      </c>
      <c r="U109" s="564">
        <f>U110+U111</f>
        <v>150050.75</v>
      </c>
      <c r="V109" s="564">
        <f t="shared" si="53"/>
        <v>140000</v>
      </c>
      <c r="W109" s="564">
        <f>W110+W111</f>
        <v>302847.8</v>
      </c>
      <c r="X109" s="564">
        <f>X110+X111</f>
        <v>120.89</v>
      </c>
      <c r="Y109" s="564">
        <f t="shared" si="53"/>
        <v>172716</v>
      </c>
      <c r="Z109" s="564">
        <f>Z110+Z111</f>
        <v>183023.16</v>
      </c>
      <c r="AA109" s="566">
        <f t="shared" si="53"/>
        <v>-82508.13</v>
      </c>
      <c r="AB109" s="564">
        <f t="shared" si="53"/>
        <v>0</v>
      </c>
      <c r="AC109" s="564">
        <f>AC110+AC111</f>
        <v>1768665.3</v>
      </c>
      <c r="AD109" s="13">
        <f t="shared" si="38"/>
        <v>89.1194850347677</v>
      </c>
      <c r="AE109" s="564"/>
    </row>
    <row r="110" spans="1:31" s="572" customFormat="1" ht="135">
      <c r="A110" s="568"/>
      <c r="B110" s="568"/>
      <c r="C110" s="544">
        <v>2010</v>
      </c>
      <c r="D110" s="545" t="s">
        <v>102</v>
      </c>
      <c r="E110" s="569">
        <v>2302100</v>
      </c>
      <c r="F110" s="570">
        <v>-229500</v>
      </c>
      <c r="G110" s="571"/>
      <c r="H110" s="571"/>
      <c r="I110" s="571"/>
      <c r="J110" s="571"/>
      <c r="K110" s="571"/>
      <c r="L110" s="570">
        <v>-90000</v>
      </c>
      <c r="M110" s="571"/>
      <c r="N110" s="571"/>
      <c r="O110" s="537">
        <f aca="true" t="shared" si="54" ref="O110:O116">E110+F110+G110+H110+I110+J110+K110+L110+M110+N110</f>
        <v>1982600</v>
      </c>
      <c r="P110" s="569">
        <v>191842</v>
      </c>
      <c r="Q110" s="569">
        <v>191842</v>
      </c>
      <c r="R110" s="569">
        <v>172717</v>
      </c>
      <c r="S110" s="569">
        <v>172717</v>
      </c>
      <c r="T110" s="569">
        <v>172700</v>
      </c>
      <c r="U110" s="569">
        <v>150000</v>
      </c>
      <c r="V110" s="569">
        <v>140000</v>
      </c>
      <c r="W110" s="569">
        <v>302716</v>
      </c>
      <c r="X110" s="569"/>
      <c r="Y110" s="569">
        <v>172716</v>
      </c>
      <c r="Z110" s="569">
        <v>182750</v>
      </c>
      <c r="AA110" s="570">
        <v>-82508.13</v>
      </c>
      <c r="AB110" s="569"/>
      <c r="AC110" s="4">
        <f>SUM(P110:AB110)</f>
        <v>1767491.87</v>
      </c>
      <c r="AD110" s="6">
        <f t="shared" si="38"/>
        <v>89.15020024210632</v>
      </c>
      <c r="AE110" s="4" t="s">
        <v>1170</v>
      </c>
    </row>
    <row r="111" spans="1:31" s="572" customFormat="1" ht="67.5">
      <c r="A111" s="568"/>
      <c r="B111" s="509"/>
      <c r="C111" s="142">
        <v>2360</v>
      </c>
      <c r="D111" s="10" t="s">
        <v>956</v>
      </c>
      <c r="E111" s="569"/>
      <c r="F111" s="570"/>
      <c r="G111" s="571">
        <v>2000</v>
      </c>
      <c r="H111" s="571"/>
      <c r="I111" s="571"/>
      <c r="J111" s="571"/>
      <c r="K111" s="571"/>
      <c r="L111" s="571"/>
      <c r="M111" s="571"/>
      <c r="N111" s="571"/>
      <c r="O111" s="537">
        <f t="shared" si="54"/>
        <v>2000</v>
      </c>
      <c r="P111" s="569"/>
      <c r="Q111" s="569"/>
      <c r="R111" s="569">
        <v>41.16</v>
      </c>
      <c r="S111" s="569"/>
      <c r="T111" s="569">
        <v>555.67</v>
      </c>
      <c r="U111" s="569">
        <v>50.75</v>
      </c>
      <c r="V111" s="569"/>
      <c r="W111" s="569">
        <v>131.8</v>
      </c>
      <c r="X111" s="569">
        <v>120.89</v>
      </c>
      <c r="Y111" s="569"/>
      <c r="Z111" s="569">
        <v>273.16</v>
      </c>
      <c r="AA111" s="569"/>
      <c r="AB111" s="569"/>
      <c r="AC111" s="4">
        <f>SUM(P111:AB111)</f>
        <v>1173.4299999999998</v>
      </c>
      <c r="AD111" s="6">
        <f>AC111*100/O111</f>
        <v>58.671499999999995</v>
      </c>
      <c r="AE111" s="2" t="s">
        <v>1171</v>
      </c>
    </row>
    <row r="112" spans="1:31" s="572" customFormat="1" ht="73.5">
      <c r="A112" s="568"/>
      <c r="B112" s="509">
        <v>85213</v>
      </c>
      <c r="C112" s="509"/>
      <c r="D112" s="510" t="s">
        <v>381</v>
      </c>
      <c r="E112" s="564">
        <f aca="true" t="shared" si="55" ref="E112:AB112">E113</f>
        <v>11700</v>
      </c>
      <c r="F112" s="566">
        <f t="shared" si="55"/>
        <v>-1400</v>
      </c>
      <c r="G112" s="567">
        <f t="shared" si="55"/>
        <v>0</v>
      </c>
      <c r="H112" s="567">
        <f t="shared" si="55"/>
        <v>0</v>
      </c>
      <c r="I112" s="567">
        <f t="shared" si="55"/>
        <v>0</v>
      </c>
      <c r="J112" s="567">
        <f t="shared" si="55"/>
        <v>0</v>
      </c>
      <c r="K112" s="567">
        <f t="shared" si="55"/>
        <v>0</v>
      </c>
      <c r="L112" s="567">
        <f t="shared" si="55"/>
        <v>0</v>
      </c>
      <c r="M112" s="567">
        <f t="shared" si="55"/>
        <v>0</v>
      </c>
      <c r="N112" s="567">
        <f t="shared" si="55"/>
        <v>0</v>
      </c>
      <c r="O112" s="555">
        <f t="shared" si="55"/>
        <v>10300</v>
      </c>
      <c r="P112" s="564">
        <f t="shared" si="55"/>
        <v>975</v>
      </c>
      <c r="Q112" s="564">
        <f t="shared" si="55"/>
        <v>975</v>
      </c>
      <c r="R112" s="564">
        <f t="shared" si="55"/>
        <v>858</v>
      </c>
      <c r="S112" s="564">
        <f t="shared" si="55"/>
        <v>858</v>
      </c>
      <c r="T112" s="564">
        <f t="shared" si="55"/>
        <v>858</v>
      </c>
      <c r="U112" s="564">
        <f t="shared" si="55"/>
        <v>858</v>
      </c>
      <c r="V112" s="564">
        <f t="shared" si="55"/>
        <v>500</v>
      </c>
      <c r="W112" s="564">
        <f t="shared" si="55"/>
        <v>500</v>
      </c>
      <c r="X112" s="564">
        <f t="shared" si="55"/>
        <v>900</v>
      </c>
      <c r="Y112" s="564">
        <f t="shared" si="55"/>
        <v>900</v>
      </c>
      <c r="Z112" s="564">
        <f t="shared" si="55"/>
        <v>1059</v>
      </c>
      <c r="AA112" s="566">
        <f t="shared" si="55"/>
        <v>-1358.23</v>
      </c>
      <c r="AB112" s="564">
        <f t="shared" si="55"/>
        <v>0</v>
      </c>
      <c r="AC112" s="564">
        <f>AC113</f>
        <v>7882.77</v>
      </c>
      <c r="AD112" s="13">
        <f t="shared" si="38"/>
        <v>76.53174757281553</v>
      </c>
      <c r="AE112" s="564"/>
    </row>
    <row r="113" spans="1:31" s="572" customFormat="1" ht="67.5">
      <c r="A113" s="568"/>
      <c r="B113" s="568"/>
      <c r="C113" s="544">
        <v>2010</v>
      </c>
      <c r="D113" s="545" t="s">
        <v>102</v>
      </c>
      <c r="E113" s="569">
        <v>11700</v>
      </c>
      <c r="F113" s="570">
        <v>-1400</v>
      </c>
      <c r="G113" s="571"/>
      <c r="H113" s="571"/>
      <c r="I113" s="571"/>
      <c r="J113" s="570"/>
      <c r="K113" s="571"/>
      <c r="L113" s="571"/>
      <c r="M113" s="571"/>
      <c r="N113" s="571"/>
      <c r="O113" s="537">
        <f t="shared" si="54"/>
        <v>10300</v>
      </c>
      <c r="P113" s="569">
        <v>975</v>
      </c>
      <c r="Q113" s="569">
        <v>975</v>
      </c>
      <c r="R113" s="569">
        <v>858</v>
      </c>
      <c r="S113" s="569">
        <v>858</v>
      </c>
      <c r="T113" s="569">
        <v>858</v>
      </c>
      <c r="U113" s="569">
        <v>858</v>
      </c>
      <c r="V113" s="569">
        <v>500</v>
      </c>
      <c r="W113" s="569">
        <v>500</v>
      </c>
      <c r="X113" s="569">
        <v>900</v>
      </c>
      <c r="Y113" s="569">
        <v>900</v>
      </c>
      <c r="Z113" s="569">
        <v>1059</v>
      </c>
      <c r="AA113" s="570">
        <v>-1358.23</v>
      </c>
      <c r="AB113" s="569"/>
      <c r="AC113" s="4">
        <f>SUM(P113:AB113)</f>
        <v>7882.77</v>
      </c>
      <c r="AD113" s="6">
        <f t="shared" si="38"/>
        <v>76.53174757281553</v>
      </c>
      <c r="AE113" s="4" t="s">
        <v>382</v>
      </c>
    </row>
    <row r="114" spans="1:31" s="572" customFormat="1" ht="53.25" customHeight="1">
      <c r="A114" s="568"/>
      <c r="B114" s="568">
        <v>85214</v>
      </c>
      <c r="C114" s="568"/>
      <c r="D114" s="573" t="s">
        <v>383</v>
      </c>
      <c r="E114" s="564">
        <f>E115+E116</f>
        <v>72700</v>
      </c>
      <c r="F114" s="566">
        <f aca="true" t="shared" si="56" ref="F114:AA114">F115+F116</f>
        <v>-2600</v>
      </c>
      <c r="G114" s="567">
        <f t="shared" si="56"/>
        <v>0</v>
      </c>
      <c r="H114" s="567">
        <f t="shared" si="56"/>
        <v>1859</v>
      </c>
      <c r="I114" s="567">
        <f t="shared" si="56"/>
        <v>0</v>
      </c>
      <c r="J114" s="567">
        <f t="shared" si="56"/>
        <v>0</v>
      </c>
      <c r="K114" s="567">
        <f t="shared" si="56"/>
        <v>0</v>
      </c>
      <c r="L114" s="567">
        <f>L115+L116</f>
        <v>0</v>
      </c>
      <c r="M114" s="567">
        <f>M115+M116</f>
        <v>0</v>
      </c>
      <c r="N114" s="566">
        <f>N115+N116</f>
        <v>-6416</v>
      </c>
      <c r="O114" s="555">
        <f t="shared" si="56"/>
        <v>65543</v>
      </c>
      <c r="P114" s="564">
        <f t="shared" si="56"/>
        <v>4331</v>
      </c>
      <c r="Q114" s="564">
        <f t="shared" si="56"/>
        <v>7786</v>
      </c>
      <c r="R114" s="564">
        <f t="shared" si="56"/>
        <v>6058</v>
      </c>
      <c r="S114" s="564">
        <f t="shared" si="56"/>
        <v>5769</v>
      </c>
      <c r="T114" s="564">
        <f t="shared" si="56"/>
        <v>5769</v>
      </c>
      <c r="U114" s="564">
        <f t="shared" si="56"/>
        <v>6035</v>
      </c>
      <c r="V114" s="564">
        <f t="shared" si="56"/>
        <v>6035</v>
      </c>
      <c r="W114" s="564">
        <f t="shared" si="56"/>
        <v>6036</v>
      </c>
      <c r="X114" s="564">
        <f t="shared" si="56"/>
        <v>6036</v>
      </c>
      <c r="Y114" s="564">
        <f t="shared" si="56"/>
        <v>6035</v>
      </c>
      <c r="Z114" s="564">
        <f t="shared" si="56"/>
        <v>2167</v>
      </c>
      <c r="AA114" s="566">
        <f t="shared" si="56"/>
        <v>-6957.410000000001</v>
      </c>
      <c r="AB114" s="564">
        <f>AB115+AB116</f>
        <v>0</v>
      </c>
      <c r="AC114" s="564">
        <f>AC115+AC116</f>
        <v>55099.59</v>
      </c>
      <c r="AD114" s="13">
        <f t="shared" si="38"/>
        <v>84.06632287200769</v>
      </c>
      <c r="AE114" s="564"/>
    </row>
    <row r="115" spans="1:31" s="572" customFormat="1" ht="78.75">
      <c r="A115" s="568"/>
      <c r="B115" s="544"/>
      <c r="C115" s="544">
        <v>2010</v>
      </c>
      <c r="D115" s="545" t="s">
        <v>102</v>
      </c>
      <c r="E115" s="569">
        <v>34200</v>
      </c>
      <c r="F115" s="570">
        <v>-2600</v>
      </c>
      <c r="G115" s="571"/>
      <c r="H115" s="571">
        <v>1859</v>
      </c>
      <c r="I115" s="571"/>
      <c r="J115" s="571"/>
      <c r="K115" s="571"/>
      <c r="L115" s="571"/>
      <c r="M115" s="571"/>
      <c r="N115" s="571"/>
      <c r="O115" s="537">
        <f t="shared" si="54"/>
        <v>33459</v>
      </c>
      <c r="P115" s="569">
        <v>2850</v>
      </c>
      <c r="Q115" s="569">
        <v>2850</v>
      </c>
      <c r="R115" s="569">
        <v>2850</v>
      </c>
      <c r="S115" s="569">
        <v>2561</v>
      </c>
      <c r="T115" s="569">
        <v>2561</v>
      </c>
      <c r="U115" s="569">
        <v>2827</v>
      </c>
      <c r="V115" s="569">
        <v>2827</v>
      </c>
      <c r="W115" s="569">
        <v>2827</v>
      </c>
      <c r="X115" s="569">
        <v>2827</v>
      </c>
      <c r="Y115" s="569">
        <v>2826</v>
      </c>
      <c r="Z115" s="569">
        <v>2167</v>
      </c>
      <c r="AA115" s="569">
        <v>1445.7</v>
      </c>
      <c r="AB115" s="569"/>
      <c r="AC115" s="4">
        <f>SUM(P115:AB115)</f>
        <v>31418.7</v>
      </c>
      <c r="AD115" s="6">
        <f t="shared" si="38"/>
        <v>93.90208912400252</v>
      </c>
      <c r="AE115" s="4" t="s">
        <v>1172</v>
      </c>
    </row>
    <row r="116" spans="1:31" s="572" customFormat="1" ht="53.25" customHeight="1">
      <c r="A116" s="568"/>
      <c r="B116" s="544"/>
      <c r="C116" s="579">
        <v>2030</v>
      </c>
      <c r="D116" s="545" t="s">
        <v>353</v>
      </c>
      <c r="E116" s="569">
        <v>38500</v>
      </c>
      <c r="F116" s="571"/>
      <c r="G116" s="571"/>
      <c r="H116" s="571"/>
      <c r="I116" s="571"/>
      <c r="J116" s="571"/>
      <c r="K116" s="571"/>
      <c r="L116" s="571"/>
      <c r="M116" s="571"/>
      <c r="N116" s="570">
        <v>-6416</v>
      </c>
      <c r="O116" s="537">
        <f t="shared" si="54"/>
        <v>32084</v>
      </c>
      <c r="P116" s="569">
        <v>1481</v>
      </c>
      <c r="Q116" s="569">
        <v>4936</v>
      </c>
      <c r="R116" s="569">
        <v>3208</v>
      </c>
      <c r="S116" s="569">
        <v>3208</v>
      </c>
      <c r="T116" s="569">
        <v>3208</v>
      </c>
      <c r="U116" s="569">
        <v>3208</v>
      </c>
      <c r="V116" s="569">
        <v>3208</v>
      </c>
      <c r="W116" s="569">
        <v>3209</v>
      </c>
      <c r="X116" s="569">
        <v>3209</v>
      </c>
      <c r="Y116" s="569">
        <v>3209</v>
      </c>
      <c r="Z116" s="569"/>
      <c r="AA116" s="570">
        <v>-8403.11</v>
      </c>
      <c r="AB116" s="569"/>
      <c r="AC116" s="4">
        <f>SUM(P116:AB116)</f>
        <v>23680.89</v>
      </c>
      <c r="AD116" s="6">
        <f>AC116*100/O116</f>
        <v>73.8090325395836</v>
      </c>
      <c r="AE116" s="4" t="s">
        <v>1173</v>
      </c>
    </row>
    <row r="117" spans="1:31" s="572" customFormat="1" ht="53.25" customHeight="1" hidden="1">
      <c r="A117" s="568"/>
      <c r="B117" s="568">
        <v>85216</v>
      </c>
      <c r="C117" s="568"/>
      <c r="D117" s="573" t="s">
        <v>685</v>
      </c>
      <c r="E117" s="564">
        <f aca="true" t="shared" si="57" ref="E117:AB117">E118</f>
        <v>0</v>
      </c>
      <c r="F117" s="567">
        <f t="shared" si="57"/>
        <v>0</v>
      </c>
      <c r="G117" s="567">
        <f t="shared" si="57"/>
        <v>0</v>
      </c>
      <c r="H117" s="567">
        <f t="shared" si="57"/>
        <v>0</v>
      </c>
      <c r="I117" s="567">
        <f t="shared" si="57"/>
        <v>0</v>
      </c>
      <c r="J117" s="567">
        <f t="shared" si="57"/>
        <v>0</v>
      </c>
      <c r="K117" s="567">
        <f t="shared" si="57"/>
        <v>0</v>
      </c>
      <c r="L117" s="567">
        <f t="shared" si="57"/>
        <v>0</v>
      </c>
      <c r="M117" s="567">
        <f t="shared" si="57"/>
        <v>0</v>
      </c>
      <c r="N117" s="567">
        <f t="shared" si="57"/>
        <v>0</v>
      </c>
      <c r="O117" s="555">
        <f>O118</f>
        <v>0</v>
      </c>
      <c r="P117" s="564">
        <f t="shared" si="57"/>
        <v>0</v>
      </c>
      <c r="Q117" s="564">
        <f t="shared" si="57"/>
        <v>0</v>
      </c>
      <c r="R117" s="564">
        <f t="shared" si="57"/>
        <v>0</v>
      </c>
      <c r="S117" s="564">
        <f t="shared" si="57"/>
        <v>0</v>
      </c>
      <c r="T117" s="564">
        <f t="shared" si="57"/>
        <v>0</v>
      </c>
      <c r="U117" s="564">
        <f t="shared" si="57"/>
        <v>0</v>
      </c>
      <c r="V117" s="564">
        <f t="shared" si="57"/>
        <v>0</v>
      </c>
      <c r="W117" s="564">
        <f t="shared" si="57"/>
        <v>0</v>
      </c>
      <c r="X117" s="564">
        <f t="shared" si="57"/>
        <v>0</v>
      </c>
      <c r="Y117" s="564">
        <f t="shared" si="57"/>
        <v>0</v>
      </c>
      <c r="Z117" s="564">
        <f t="shared" si="57"/>
        <v>0</v>
      </c>
      <c r="AA117" s="564">
        <f t="shared" si="57"/>
        <v>0</v>
      </c>
      <c r="AB117" s="564">
        <f t="shared" si="57"/>
        <v>0</v>
      </c>
      <c r="AC117" s="564">
        <f>AC118</f>
        <v>0</v>
      </c>
      <c r="AD117" s="13" t="e">
        <f t="shared" si="38"/>
        <v>#DIV/0!</v>
      </c>
      <c r="AE117" s="564"/>
    </row>
    <row r="118" spans="1:31" s="572" customFormat="1" ht="53.25" customHeight="1" hidden="1">
      <c r="A118" s="568"/>
      <c r="B118" s="544"/>
      <c r="C118" s="544">
        <v>2010</v>
      </c>
      <c r="D118" s="545" t="s">
        <v>102</v>
      </c>
      <c r="E118" s="569"/>
      <c r="F118" s="571"/>
      <c r="G118" s="571"/>
      <c r="H118" s="571"/>
      <c r="I118" s="571"/>
      <c r="J118" s="571"/>
      <c r="K118" s="571"/>
      <c r="L118" s="571"/>
      <c r="M118" s="571"/>
      <c r="N118" s="571"/>
      <c r="O118" s="537">
        <f>E118+F118+G118+H118+I118+J118+K118</f>
        <v>0</v>
      </c>
      <c r="P118" s="569"/>
      <c r="Q118" s="569"/>
      <c r="R118" s="569"/>
      <c r="S118" s="569"/>
      <c r="T118" s="569"/>
      <c r="U118" s="569"/>
      <c r="V118" s="569"/>
      <c r="W118" s="569"/>
      <c r="X118" s="569"/>
      <c r="Y118" s="569"/>
      <c r="Z118" s="569"/>
      <c r="AA118" s="569"/>
      <c r="AB118" s="569"/>
      <c r="AC118" s="6">
        <f>SUM(P118:AA118)</f>
        <v>0</v>
      </c>
      <c r="AD118" s="6" t="e">
        <f t="shared" si="38"/>
        <v>#DIV/0!</v>
      </c>
      <c r="AE118" s="6"/>
    </row>
    <row r="119" spans="1:31" s="572" customFormat="1" ht="21">
      <c r="A119" s="568"/>
      <c r="B119" s="568">
        <v>85219</v>
      </c>
      <c r="C119" s="568"/>
      <c r="D119" s="573" t="s">
        <v>384</v>
      </c>
      <c r="E119" s="564">
        <f>E120+E121</f>
        <v>73200</v>
      </c>
      <c r="F119" s="567">
        <f aca="true" t="shared" si="58" ref="F119:AA119">F120+F121</f>
        <v>0</v>
      </c>
      <c r="G119" s="567">
        <f t="shared" si="58"/>
        <v>0</v>
      </c>
      <c r="H119" s="567">
        <f t="shared" si="58"/>
        <v>0</v>
      </c>
      <c r="I119" s="567">
        <f t="shared" si="58"/>
        <v>0</v>
      </c>
      <c r="J119" s="567">
        <f t="shared" si="58"/>
        <v>0</v>
      </c>
      <c r="K119" s="567">
        <f t="shared" si="58"/>
        <v>0</v>
      </c>
      <c r="L119" s="567">
        <f>L120+L121</f>
        <v>0</v>
      </c>
      <c r="M119" s="567">
        <f>M120+M121</f>
        <v>0</v>
      </c>
      <c r="N119" s="567">
        <f>N120+N121</f>
        <v>0</v>
      </c>
      <c r="O119" s="555">
        <f t="shared" si="58"/>
        <v>73200</v>
      </c>
      <c r="P119" s="564">
        <f t="shared" si="58"/>
        <v>6092</v>
      </c>
      <c r="Q119" s="564">
        <f t="shared" si="58"/>
        <v>10490</v>
      </c>
      <c r="R119" s="564">
        <f t="shared" si="58"/>
        <v>5705.75</v>
      </c>
      <c r="S119" s="564">
        <f t="shared" si="58"/>
        <v>5652</v>
      </c>
      <c r="T119" s="564">
        <f t="shared" si="58"/>
        <v>7008</v>
      </c>
      <c r="U119" s="564">
        <f t="shared" si="58"/>
        <v>5545.7</v>
      </c>
      <c r="V119" s="564">
        <f t="shared" si="58"/>
        <v>5458</v>
      </c>
      <c r="W119" s="564">
        <f t="shared" si="58"/>
        <v>5458</v>
      </c>
      <c r="X119" s="564">
        <f t="shared" si="58"/>
        <v>5710.96</v>
      </c>
      <c r="Y119" s="564">
        <f t="shared" si="58"/>
        <v>16374</v>
      </c>
      <c r="Z119" s="564">
        <f t="shared" si="58"/>
        <v>0</v>
      </c>
      <c r="AA119" s="564">
        <f t="shared" si="58"/>
        <v>219.1</v>
      </c>
      <c r="AB119" s="564">
        <f>AB120+AB121</f>
        <v>0</v>
      </c>
      <c r="AC119" s="564">
        <f>AC120+AC121</f>
        <v>73713.51</v>
      </c>
      <c r="AD119" s="582">
        <f t="shared" si="38"/>
        <v>100.70151639344262</v>
      </c>
      <c r="AE119" s="564"/>
    </row>
    <row r="120" spans="1:31" s="572" customFormat="1" ht="56.25">
      <c r="A120" s="568"/>
      <c r="B120" s="544"/>
      <c r="C120" s="579">
        <v>2030</v>
      </c>
      <c r="D120" s="545" t="s">
        <v>353</v>
      </c>
      <c r="E120" s="569">
        <v>73100</v>
      </c>
      <c r="F120" s="571"/>
      <c r="G120" s="571"/>
      <c r="H120" s="571"/>
      <c r="I120" s="571"/>
      <c r="J120" s="571"/>
      <c r="K120" s="571"/>
      <c r="L120" s="571"/>
      <c r="M120" s="571"/>
      <c r="N120" s="571"/>
      <c r="O120" s="537">
        <f>E120+F120+G120+H120+I120+J120+K120+L120+M120+N120</f>
        <v>73100</v>
      </c>
      <c r="P120" s="569">
        <v>6092</v>
      </c>
      <c r="Q120" s="569">
        <v>10490</v>
      </c>
      <c r="R120" s="569">
        <v>5652</v>
      </c>
      <c r="S120" s="569">
        <v>5652</v>
      </c>
      <c r="T120" s="569">
        <v>7008</v>
      </c>
      <c r="U120" s="569">
        <v>5458</v>
      </c>
      <c r="V120" s="569">
        <v>5458</v>
      </c>
      <c r="W120" s="569">
        <v>5458</v>
      </c>
      <c r="X120" s="569">
        <v>5458</v>
      </c>
      <c r="Y120" s="569">
        <v>16374</v>
      </c>
      <c r="Z120" s="569"/>
      <c r="AA120" s="569"/>
      <c r="AB120" s="569"/>
      <c r="AC120" s="4">
        <f>SUM(P120:AB120)</f>
        <v>73100</v>
      </c>
      <c r="AD120" s="569">
        <f t="shared" si="38"/>
        <v>100</v>
      </c>
      <c r="AE120" s="4" t="s">
        <v>385</v>
      </c>
    </row>
    <row r="121" spans="1:31" s="577" customFormat="1" ht="22.5">
      <c r="A121" s="509"/>
      <c r="B121" s="509"/>
      <c r="C121" s="533" t="s">
        <v>122</v>
      </c>
      <c r="D121" s="10" t="s">
        <v>123</v>
      </c>
      <c r="E121" s="556">
        <v>100</v>
      </c>
      <c r="F121" s="558"/>
      <c r="G121" s="558"/>
      <c r="H121" s="558"/>
      <c r="I121" s="558"/>
      <c r="J121" s="558"/>
      <c r="K121" s="558"/>
      <c r="L121" s="558"/>
      <c r="M121" s="558"/>
      <c r="N121" s="558"/>
      <c r="O121" s="537">
        <f>E121+F121+G121+H121+I121+J121+K121+L121+M121+N121</f>
        <v>100</v>
      </c>
      <c r="P121" s="556"/>
      <c r="Q121" s="556"/>
      <c r="R121" s="556">
        <v>53.75</v>
      </c>
      <c r="S121" s="556"/>
      <c r="T121" s="556"/>
      <c r="U121" s="556">
        <v>87.7</v>
      </c>
      <c r="V121" s="556"/>
      <c r="W121" s="556"/>
      <c r="X121" s="556">
        <v>252.96</v>
      </c>
      <c r="Y121" s="556"/>
      <c r="Z121" s="556"/>
      <c r="AA121" s="556">
        <v>219.1</v>
      </c>
      <c r="AB121" s="556"/>
      <c r="AC121" s="4">
        <f>SUM(P121:AB121)</f>
        <v>613.51</v>
      </c>
      <c r="AD121" s="6">
        <f t="shared" si="38"/>
        <v>613.51</v>
      </c>
      <c r="AE121" s="9" t="s">
        <v>386</v>
      </c>
    </row>
    <row r="122" spans="1:31" s="584" customFormat="1" ht="53.25" customHeight="1" hidden="1">
      <c r="A122" s="583"/>
      <c r="B122" s="583">
        <v>85278</v>
      </c>
      <c r="C122" s="583"/>
      <c r="D122" s="580" t="s">
        <v>387</v>
      </c>
      <c r="E122" s="552">
        <f aca="true" t="shared" si="59" ref="E122:AB122">E123</f>
        <v>0</v>
      </c>
      <c r="F122" s="554">
        <f t="shared" si="59"/>
        <v>0</v>
      </c>
      <c r="G122" s="554">
        <f t="shared" si="59"/>
        <v>0</v>
      </c>
      <c r="H122" s="554">
        <f t="shared" si="59"/>
        <v>0</v>
      </c>
      <c r="I122" s="554">
        <f t="shared" si="59"/>
        <v>0</v>
      </c>
      <c r="J122" s="554">
        <f t="shared" si="59"/>
        <v>0</v>
      </c>
      <c r="K122" s="554">
        <f t="shared" si="59"/>
        <v>0</v>
      </c>
      <c r="L122" s="554">
        <f t="shared" si="59"/>
        <v>0</v>
      </c>
      <c r="M122" s="554">
        <f t="shared" si="59"/>
        <v>0</v>
      </c>
      <c r="N122" s="554">
        <f t="shared" si="59"/>
        <v>0</v>
      </c>
      <c r="O122" s="542">
        <f t="shared" si="59"/>
        <v>0</v>
      </c>
      <c r="P122" s="552">
        <f t="shared" si="59"/>
        <v>0</v>
      </c>
      <c r="Q122" s="552">
        <f t="shared" si="59"/>
        <v>0</v>
      </c>
      <c r="R122" s="552">
        <f t="shared" si="59"/>
        <v>0</v>
      </c>
      <c r="S122" s="552">
        <f t="shared" si="59"/>
        <v>0</v>
      </c>
      <c r="T122" s="552">
        <f t="shared" si="59"/>
        <v>0</v>
      </c>
      <c r="U122" s="552">
        <f t="shared" si="59"/>
        <v>0</v>
      </c>
      <c r="V122" s="552">
        <f t="shared" si="59"/>
        <v>0</v>
      </c>
      <c r="W122" s="552">
        <f t="shared" si="59"/>
        <v>0</v>
      </c>
      <c r="X122" s="552">
        <f t="shared" si="59"/>
        <v>0</v>
      </c>
      <c r="Y122" s="552">
        <f t="shared" si="59"/>
        <v>0</v>
      </c>
      <c r="Z122" s="552">
        <f t="shared" si="59"/>
        <v>0</v>
      </c>
      <c r="AA122" s="552">
        <f t="shared" si="59"/>
        <v>0</v>
      </c>
      <c r="AB122" s="552">
        <f t="shared" si="59"/>
        <v>0</v>
      </c>
      <c r="AC122" s="12">
        <f>AC123</f>
        <v>0</v>
      </c>
      <c r="AD122" s="582" t="e">
        <f t="shared" si="38"/>
        <v>#DIV/0!</v>
      </c>
      <c r="AE122" s="12"/>
    </row>
    <row r="123" spans="1:31" s="577" customFormat="1" ht="53.25" customHeight="1" hidden="1">
      <c r="A123" s="509"/>
      <c r="B123" s="509"/>
      <c r="C123" s="142">
        <v>2010</v>
      </c>
      <c r="D123" s="10" t="s">
        <v>102</v>
      </c>
      <c r="E123" s="585"/>
      <c r="F123" s="586"/>
      <c r="G123" s="586"/>
      <c r="H123" s="586"/>
      <c r="I123" s="586"/>
      <c r="J123" s="586"/>
      <c r="K123" s="586"/>
      <c r="L123" s="586"/>
      <c r="M123" s="586"/>
      <c r="N123" s="586"/>
      <c r="O123" s="537">
        <f>E123+F123+G123+H123+I123+J123+K123</f>
        <v>0</v>
      </c>
      <c r="P123" s="585"/>
      <c r="Q123" s="585"/>
      <c r="R123" s="585"/>
      <c r="S123" s="585"/>
      <c r="T123" s="585"/>
      <c r="U123" s="585"/>
      <c r="V123" s="585"/>
      <c r="W123" s="585"/>
      <c r="X123" s="585"/>
      <c r="Y123" s="585"/>
      <c r="Z123" s="585"/>
      <c r="AA123" s="585"/>
      <c r="AB123" s="585"/>
      <c r="AC123" s="4">
        <f>SUM(P123:AA123)</f>
        <v>0</v>
      </c>
      <c r="AD123" s="569" t="e">
        <f t="shared" si="38"/>
        <v>#DIV/0!</v>
      </c>
      <c r="AE123" s="4"/>
    </row>
    <row r="124" spans="1:31" s="584" customFormat="1" ht="10.5">
      <c r="A124" s="583"/>
      <c r="B124" s="583">
        <v>85295</v>
      </c>
      <c r="C124" s="583"/>
      <c r="D124" s="580" t="s">
        <v>99</v>
      </c>
      <c r="E124" s="552">
        <f aca="true" t="shared" si="60" ref="E124:AB124">E125</f>
        <v>17800</v>
      </c>
      <c r="F124" s="554">
        <f t="shared" si="60"/>
        <v>0</v>
      </c>
      <c r="G124" s="554">
        <f t="shared" si="60"/>
        <v>0</v>
      </c>
      <c r="H124" s="554">
        <f t="shared" si="60"/>
        <v>12201</v>
      </c>
      <c r="I124" s="554">
        <f t="shared" si="60"/>
        <v>0</v>
      </c>
      <c r="J124" s="554">
        <f t="shared" si="60"/>
        <v>8341</v>
      </c>
      <c r="K124" s="554">
        <f t="shared" si="60"/>
        <v>0</v>
      </c>
      <c r="L124" s="554">
        <f t="shared" si="60"/>
        <v>0</v>
      </c>
      <c r="M124" s="554">
        <f t="shared" si="60"/>
        <v>4358</v>
      </c>
      <c r="N124" s="554">
        <f t="shared" si="60"/>
        <v>0</v>
      </c>
      <c r="O124" s="542">
        <f t="shared" si="60"/>
        <v>42700</v>
      </c>
      <c r="P124" s="552">
        <f t="shared" si="60"/>
        <v>4450</v>
      </c>
      <c r="Q124" s="552">
        <f t="shared" si="60"/>
        <v>4450</v>
      </c>
      <c r="R124" s="552">
        <f t="shared" si="60"/>
        <v>4450</v>
      </c>
      <c r="S124" s="552">
        <f t="shared" si="60"/>
        <v>4450</v>
      </c>
      <c r="T124" s="552">
        <f t="shared" si="60"/>
        <v>3050</v>
      </c>
      <c r="U124" s="552">
        <f t="shared" si="60"/>
        <v>3050</v>
      </c>
      <c r="V124" s="552">
        <f t="shared" si="60"/>
        <v>3050</v>
      </c>
      <c r="W124" s="552">
        <f t="shared" si="60"/>
        <v>3051</v>
      </c>
      <c r="X124" s="552">
        <f t="shared" si="60"/>
        <v>4170</v>
      </c>
      <c r="Y124" s="552">
        <f t="shared" si="60"/>
        <v>4171</v>
      </c>
      <c r="Z124" s="552">
        <f t="shared" si="60"/>
        <v>2179</v>
      </c>
      <c r="AA124" s="552">
        <f t="shared" si="60"/>
        <v>2179</v>
      </c>
      <c r="AB124" s="552">
        <f t="shared" si="60"/>
        <v>0</v>
      </c>
      <c r="AC124" s="12">
        <f>AC125</f>
        <v>42700</v>
      </c>
      <c r="AD124" s="582">
        <f>AC124*100/O124</f>
        <v>100</v>
      </c>
      <c r="AE124" s="12"/>
    </row>
    <row r="125" spans="1:31" s="587" customFormat="1" ht="101.25">
      <c r="A125" s="568"/>
      <c r="B125" s="568"/>
      <c r="C125" s="579">
        <v>2030</v>
      </c>
      <c r="D125" s="545" t="s">
        <v>353</v>
      </c>
      <c r="E125" s="569">
        <v>17800</v>
      </c>
      <c r="F125" s="571"/>
      <c r="G125" s="571"/>
      <c r="H125" s="571">
        <v>12201</v>
      </c>
      <c r="I125" s="571"/>
      <c r="J125" s="571">
        <v>8341</v>
      </c>
      <c r="K125" s="571"/>
      <c r="L125" s="571"/>
      <c r="M125" s="571">
        <v>4358</v>
      </c>
      <c r="N125" s="571"/>
      <c r="O125" s="537">
        <f>E125+F125+G125+H125+I125+J125+K125+L125+M125+N125</f>
        <v>42700</v>
      </c>
      <c r="P125" s="569">
        <v>4450</v>
      </c>
      <c r="Q125" s="569">
        <v>4450</v>
      </c>
      <c r="R125" s="569">
        <v>4450</v>
      </c>
      <c r="S125" s="569">
        <v>4450</v>
      </c>
      <c r="T125" s="569">
        <v>3050</v>
      </c>
      <c r="U125" s="569">
        <v>3050</v>
      </c>
      <c r="V125" s="569">
        <v>3050</v>
      </c>
      <c r="W125" s="569">
        <v>3051</v>
      </c>
      <c r="X125" s="569">
        <v>4170</v>
      </c>
      <c r="Y125" s="569">
        <v>4171</v>
      </c>
      <c r="Z125" s="569">
        <v>2179</v>
      </c>
      <c r="AA125" s="569">
        <v>2179</v>
      </c>
      <c r="AB125" s="569"/>
      <c r="AC125" s="4">
        <f>SUM(P125:AB125)</f>
        <v>42700</v>
      </c>
      <c r="AD125" s="569">
        <f>AC125*100/O125</f>
        <v>100</v>
      </c>
      <c r="AE125" s="499" t="s">
        <v>1174</v>
      </c>
    </row>
    <row r="126" spans="1:31" s="514" customFormat="1" ht="21">
      <c r="A126" s="565">
        <v>854</v>
      </c>
      <c r="B126" s="565"/>
      <c r="C126" s="565"/>
      <c r="D126" s="548" t="s">
        <v>388</v>
      </c>
      <c r="E126" s="549">
        <f>E127</f>
        <v>0</v>
      </c>
      <c r="F126" s="551">
        <f aca="true" t="shared" si="61" ref="F126:AB127">F127</f>
        <v>0</v>
      </c>
      <c r="G126" s="551">
        <f t="shared" si="61"/>
        <v>0</v>
      </c>
      <c r="H126" s="551">
        <f t="shared" si="61"/>
        <v>22419</v>
      </c>
      <c r="I126" s="551">
        <f t="shared" si="61"/>
        <v>0</v>
      </c>
      <c r="J126" s="551">
        <f t="shared" si="61"/>
        <v>0</v>
      </c>
      <c r="K126" s="551">
        <f t="shared" si="61"/>
        <v>65409</v>
      </c>
      <c r="L126" s="551">
        <f t="shared" si="61"/>
        <v>0</v>
      </c>
      <c r="M126" s="551">
        <f t="shared" si="61"/>
        <v>15929</v>
      </c>
      <c r="N126" s="551">
        <f t="shared" si="61"/>
        <v>0</v>
      </c>
      <c r="O126" s="549">
        <f t="shared" si="61"/>
        <v>103757</v>
      </c>
      <c r="P126" s="549">
        <f t="shared" si="61"/>
        <v>0</v>
      </c>
      <c r="Q126" s="549">
        <f t="shared" si="61"/>
        <v>0</v>
      </c>
      <c r="R126" s="549">
        <f t="shared" si="61"/>
        <v>0</v>
      </c>
      <c r="S126" s="549">
        <f t="shared" si="61"/>
        <v>14946</v>
      </c>
      <c r="T126" s="549">
        <f t="shared" si="61"/>
        <v>3738</v>
      </c>
      <c r="U126" s="549">
        <f t="shared" si="61"/>
        <v>3735</v>
      </c>
      <c r="V126" s="549">
        <f t="shared" si="61"/>
        <v>0</v>
      </c>
      <c r="W126" s="549">
        <f t="shared" si="61"/>
        <v>9409</v>
      </c>
      <c r="X126" s="549">
        <f t="shared" si="61"/>
        <v>56000</v>
      </c>
      <c r="Y126" s="549">
        <f t="shared" si="61"/>
        <v>15642</v>
      </c>
      <c r="Z126" s="549">
        <f t="shared" si="61"/>
        <v>287</v>
      </c>
      <c r="AA126" s="550">
        <f t="shared" si="61"/>
        <v>-7903.75</v>
      </c>
      <c r="AB126" s="549">
        <f t="shared" si="61"/>
        <v>0</v>
      </c>
      <c r="AC126" s="549">
        <f>AC127</f>
        <v>95853.25</v>
      </c>
      <c r="AD126" s="3">
        <f>AC126*100/O126</f>
        <v>92.38244166658635</v>
      </c>
      <c r="AE126" s="549"/>
    </row>
    <row r="127" spans="1:31" s="577" customFormat="1" ht="21">
      <c r="A127" s="509"/>
      <c r="B127" s="509">
        <v>85415</v>
      </c>
      <c r="C127" s="579"/>
      <c r="D127" s="575" t="s">
        <v>1158</v>
      </c>
      <c r="E127" s="552">
        <f aca="true" t="shared" si="62" ref="E127:AB127">E128</f>
        <v>0</v>
      </c>
      <c r="F127" s="554">
        <f t="shared" si="62"/>
        <v>0</v>
      </c>
      <c r="G127" s="554">
        <f t="shared" si="61"/>
        <v>0</v>
      </c>
      <c r="H127" s="554">
        <f t="shared" si="62"/>
        <v>22419</v>
      </c>
      <c r="I127" s="554">
        <f t="shared" si="61"/>
        <v>0</v>
      </c>
      <c r="J127" s="554">
        <f t="shared" si="62"/>
        <v>0</v>
      </c>
      <c r="K127" s="554">
        <f t="shared" si="62"/>
        <v>65409</v>
      </c>
      <c r="L127" s="554">
        <f t="shared" si="62"/>
        <v>0</v>
      </c>
      <c r="M127" s="554">
        <f t="shared" si="62"/>
        <v>15929</v>
      </c>
      <c r="N127" s="554">
        <f t="shared" si="62"/>
        <v>0</v>
      </c>
      <c r="O127" s="542">
        <f>O128</f>
        <v>103757</v>
      </c>
      <c r="P127" s="552">
        <f t="shared" si="62"/>
        <v>0</v>
      </c>
      <c r="Q127" s="552">
        <f t="shared" si="62"/>
        <v>0</v>
      </c>
      <c r="R127" s="552">
        <f t="shared" si="62"/>
        <v>0</v>
      </c>
      <c r="S127" s="552">
        <f t="shared" si="62"/>
        <v>14946</v>
      </c>
      <c r="T127" s="552">
        <f t="shared" si="62"/>
        <v>3738</v>
      </c>
      <c r="U127" s="552">
        <f t="shared" si="62"/>
        <v>3735</v>
      </c>
      <c r="V127" s="552">
        <f t="shared" si="62"/>
        <v>0</v>
      </c>
      <c r="W127" s="552">
        <f t="shared" si="62"/>
        <v>9409</v>
      </c>
      <c r="X127" s="552">
        <f t="shared" si="62"/>
        <v>56000</v>
      </c>
      <c r="Y127" s="552">
        <f t="shared" si="62"/>
        <v>15642</v>
      </c>
      <c r="Z127" s="552">
        <f t="shared" si="62"/>
        <v>287</v>
      </c>
      <c r="AA127" s="553">
        <f t="shared" si="62"/>
        <v>-7903.75</v>
      </c>
      <c r="AB127" s="552">
        <f t="shared" si="62"/>
        <v>0</v>
      </c>
      <c r="AC127" s="576">
        <f>AC128</f>
        <v>95853.25</v>
      </c>
      <c r="AD127" s="13">
        <f>AC127*100/O127</f>
        <v>92.38244166658635</v>
      </c>
      <c r="AE127" s="576"/>
    </row>
    <row r="128" spans="1:31" s="587" customFormat="1" ht="204" customHeight="1">
      <c r="A128" s="568"/>
      <c r="B128" s="568"/>
      <c r="C128" s="579">
        <v>2030</v>
      </c>
      <c r="D128" s="545" t="s">
        <v>353</v>
      </c>
      <c r="E128" s="582"/>
      <c r="F128" s="588"/>
      <c r="G128" s="589"/>
      <c r="H128" s="589">
        <f>22419</f>
        <v>22419</v>
      </c>
      <c r="I128" s="588"/>
      <c r="J128" s="588"/>
      <c r="K128" s="589">
        <f>9409+56000</f>
        <v>65409</v>
      </c>
      <c r="L128" s="589"/>
      <c r="M128" s="589">
        <f>523+287+2691+12428</f>
        <v>15929</v>
      </c>
      <c r="N128" s="589"/>
      <c r="O128" s="537">
        <f>E128+F128+G128+H128+I128+J128+K128+L128+M128+N128</f>
        <v>103757</v>
      </c>
      <c r="P128" s="582"/>
      <c r="Q128" s="582"/>
      <c r="R128" s="582"/>
      <c r="S128" s="590">
        <v>14946</v>
      </c>
      <c r="T128" s="590">
        <v>3738</v>
      </c>
      <c r="U128" s="590">
        <v>3735</v>
      </c>
      <c r="V128" s="582"/>
      <c r="W128" s="590">
        <v>9409</v>
      </c>
      <c r="X128" s="590">
        <v>56000</v>
      </c>
      <c r="Y128" s="590">
        <v>15642</v>
      </c>
      <c r="Z128" s="590">
        <v>287</v>
      </c>
      <c r="AA128" s="591">
        <v>-7903.75</v>
      </c>
      <c r="AB128" s="569"/>
      <c r="AC128" s="4">
        <f>SUM(P128:AB128)</f>
        <v>95853.25</v>
      </c>
      <c r="AD128" s="6">
        <f>AC128*100/O128</f>
        <v>92.38244166658635</v>
      </c>
      <c r="AE128" s="144" t="s">
        <v>398</v>
      </c>
    </row>
    <row r="129" spans="1:31" s="514" customFormat="1" ht="21">
      <c r="A129" s="565">
        <v>900</v>
      </c>
      <c r="B129" s="565"/>
      <c r="C129" s="565"/>
      <c r="D129" s="548" t="s">
        <v>1159</v>
      </c>
      <c r="E129" s="549">
        <f>E130+E132</f>
        <v>4200</v>
      </c>
      <c r="F129" s="551">
        <f>F130</f>
        <v>0</v>
      </c>
      <c r="G129" s="551">
        <f>G130</f>
        <v>0</v>
      </c>
      <c r="H129" s="550">
        <f>H130</f>
        <v>-2000</v>
      </c>
      <c r="I129" s="551">
        <f>I130+I132</f>
        <v>3000</v>
      </c>
      <c r="J129" s="551">
        <f>J130</f>
        <v>0</v>
      </c>
      <c r="K129" s="551">
        <f>K130</f>
        <v>0</v>
      </c>
      <c r="L129" s="551">
        <f>L130</f>
        <v>0</v>
      </c>
      <c r="M129" s="551">
        <f>M130</f>
        <v>0</v>
      </c>
      <c r="N129" s="551">
        <f>N130+N132</f>
        <v>3550</v>
      </c>
      <c r="O129" s="549">
        <f>O130+O132</f>
        <v>8750</v>
      </c>
      <c r="P129" s="549">
        <f>P130+P132</f>
        <v>74.77</v>
      </c>
      <c r="Q129" s="549">
        <f>Q130+Q132</f>
        <v>74.77</v>
      </c>
      <c r="R129" s="549">
        <f>R130+R132</f>
        <v>74.77</v>
      </c>
      <c r="S129" s="549">
        <f aca="true" t="shared" si="63" ref="S129:Z129">S130+S132</f>
        <v>93.46</v>
      </c>
      <c r="T129" s="549">
        <f t="shared" si="63"/>
        <v>93.46</v>
      </c>
      <c r="U129" s="549">
        <f t="shared" si="63"/>
        <v>3885.34</v>
      </c>
      <c r="V129" s="549">
        <f t="shared" si="63"/>
        <v>84.11</v>
      </c>
      <c r="W129" s="549">
        <f t="shared" si="63"/>
        <v>93.46</v>
      </c>
      <c r="X129" s="549">
        <f t="shared" si="63"/>
        <v>93.46</v>
      </c>
      <c r="Y129" s="549">
        <f t="shared" si="63"/>
        <v>93.46</v>
      </c>
      <c r="Z129" s="549">
        <f t="shared" si="63"/>
        <v>93.46</v>
      </c>
      <c r="AA129" s="549">
        <f>AA130+AA132</f>
        <v>3940.85</v>
      </c>
      <c r="AB129" s="549">
        <f>AB130+AB132</f>
        <v>0</v>
      </c>
      <c r="AC129" s="549">
        <f>AC130+AC132</f>
        <v>8695.37</v>
      </c>
      <c r="AD129" s="3">
        <f aca="true" t="shared" si="64" ref="AD129:AD137">AC129*100/O129</f>
        <v>99.37565714285715</v>
      </c>
      <c r="AE129" s="549"/>
    </row>
    <row r="130" spans="1:31" s="514" customFormat="1" ht="31.5">
      <c r="A130" s="509"/>
      <c r="B130" s="509">
        <v>90011</v>
      </c>
      <c r="C130" s="509"/>
      <c r="D130" s="510" t="s">
        <v>1160</v>
      </c>
      <c r="E130" s="552">
        <f aca="true" t="shared" si="65" ref="E130:AB130">SUM(E131:E131)</f>
        <v>3000</v>
      </c>
      <c r="F130" s="554">
        <f t="shared" si="65"/>
        <v>0</v>
      </c>
      <c r="G130" s="554">
        <f t="shared" si="65"/>
        <v>0</v>
      </c>
      <c r="H130" s="553">
        <f t="shared" si="65"/>
        <v>-2000</v>
      </c>
      <c r="I130" s="554">
        <f t="shared" si="65"/>
        <v>3000</v>
      </c>
      <c r="J130" s="554">
        <f t="shared" si="65"/>
        <v>0</v>
      </c>
      <c r="K130" s="554">
        <f t="shared" si="65"/>
        <v>0</v>
      </c>
      <c r="L130" s="554">
        <f t="shared" si="65"/>
        <v>0</v>
      </c>
      <c r="M130" s="554">
        <f t="shared" si="65"/>
        <v>0</v>
      </c>
      <c r="N130" s="554">
        <f t="shared" si="65"/>
        <v>3650</v>
      </c>
      <c r="O130" s="555">
        <f t="shared" si="65"/>
        <v>7650</v>
      </c>
      <c r="P130" s="552">
        <f t="shared" si="65"/>
        <v>0</v>
      </c>
      <c r="Q130" s="552">
        <f t="shared" si="65"/>
        <v>0</v>
      </c>
      <c r="R130" s="552">
        <f t="shared" si="65"/>
        <v>0</v>
      </c>
      <c r="S130" s="552">
        <f t="shared" si="65"/>
        <v>0</v>
      </c>
      <c r="T130" s="552">
        <f t="shared" si="65"/>
        <v>0</v>
      </c>
      <c r="U130" s="552">
        <f t="shared" si="65"/>
        <v>3810.57</v>
      </c>
      <c r="V130" s="552">
        <f t="shared" si="65"/>
        <v>0</v>
      </c>
      <c r="W130" s="552">
        <f t="shared" si="65"/>
        <v>0</v>
      </c>
      <c r="X130" s="552">
        <f t="shared" si="65"/>
        <v>0</v>
      </c>
      <c r="Y130" s="552">
        <f t="shared" si="65"/>
        <v>0</v>
      </c>
      <c r="Z130" s="552">
        <f t="shared" si="65"/>
        <v>0</v>
      </c>
      <c r="AA130" s="552">
        <f t="shared" si="65"/>
        <v>3847.39</v>
      </c>
      <c r="AB130" s="552">
        <f t="shared" si="65"/>
        <v>0</v>
      </c>
      <c r="AC130" s="552">
        <f>SUM(AC131:AC131)</f>
        <v>7657.96</v>
      </c>
      <c r="AD130" s="13">
        <f t="shared" si="64"/>
        <v>100.1040522875817</v>
      </c>
      <c r="AE130" s="552"/>
    </row>
    <row r="131" spans="1:31" s="514" customFormat="1" ht="22.5">
      <c r="A131" s="142"/>
      <c r="B131" s="142"/>
      <c r="C131" s="533" t="s">
        <v>1161</v>
      </c>
      <c r="D131" s="10" t="s">
        <v>1162</v>
      </c>
      <c r="E131" s="556">
        <v>3000</v>
      </c>
      <c r="F131" s="558"/>
      <c r="G131" s="558"/>
      <c r="H131" s="557">
        <v>-2000</v>
      </c>
      <c r="I131" s="558">
        <v>3000</v>
      </c>
      <c r="J131" s="558"/>
      <c r="K131" s="558"/>
      <c r="L131" s="558"/>
      <c r="M131" s="558"/>
      <c r="N131" s="558">
        <v>3650</v>
      </c>
      <c r="O131" s="537">
        <f>E131+F131+G131+H131+I131+J131+K131+L131+M131+N131</f>
        <v>7650</v>
      </c>
      <c r="P131" s="556"/>
      <c r="Q131" s="556"/>
      <c r="R131" s="556"/>
      <c r="S131" s="556"/>
      <c r="T131" s="556"/>
      <c r="U131" s="556">
        <v>3810.57</v>
      </c>
      <c r="V131" s="556"/>
      <c r="W131" s="556"/>
      <c r="X131" s="556"/>
      <c r="Y131" s="556"/>
      <c r="Z131" s="556"/>
      <c r="AA131" s="556">
        <v>3847.39</v>
      </c>
      <c r="AB131" s="556"/>
      <c r="AC131" s="4">
        <f>SUM(P131:AB131)</f>
        <v>7657.96</v>
      </c>
      <c r="AD131" s="6">
        <f t="shared" si="64"/>
        <v>100.1040522875817</v>
      </c>
      <c r="AE131" s="6" t="s">
        <v>399</v>
      </c>
    </row>
    <row r="132" spans="1:31" s="514" customFormat="1" ht="11.25">
      <c r="A132" s="142"/>
      <c r="B132" s="509">
        <v>90095</v>
      </c>
      <c r="C132" s="509"/>
      <c r="D132" s="510" t="s">
        <v>99</v>
      </c>
      <c r="E132" s="552">
        <f>E133</f>
        <v>1200</v>
      </c>
      <c r="F132" s="554">
        <f aca="true" t="shared" si="66" ref="F132:AB132">F133</f>
        <v>0</v>
      </c>
      <c r="G132" s="554">
        <f t="shared" si="66"/>
        <v>0</v>
      </c>
      <c r="H132" s="554">
        <f t="shared" si="66"/>
        <v>0</v>
      </c>
      <c r="I132" s="554">
        <f t="shared" si="66"/>
        <v>0</v>
      </c>
      <c r="J132" s="554">
        <f t="shared" si="66"/>
        <v>0</v>
      </c>
      <c r="K132" s="554">
        <f t="shared" si="66"/>
        <v>0</v>
      </c>
      <c r="L132" s="554">
        <f>L133</f>
        <v>0</v>
      </c>
      <c r="M132" s="554">
        <f>M133</f>
        <v>0</v>
      </c>
      <c r="N132" s="553">
        <f>N133</f>
        <v>-100</v>
      </c>
      <c r="O132" s="542">
        <f>O133</f>
        <v>1100</v>
      </c>
      <c r="P132" s="552">
        <f t="shared" si="66"/>
        <v>74.77</v>
      </c>
      <c r="Q132" s="552">
        <f t="shared" si="66"/>
        <v>74.77</v>
      </c>
      <c r="R132" s="552">
        <f t="shared" si="66"/>
        <v>74.77</v>
      </c>
      <c r="S132" s="552">
        <f t="shared" si="66"/>
        <v>93.46</v>
      </c>
      <c r="T132" s="552">
        <f t="shared" si="66"/>
        <v>93.46</v>
      </c>
      <c r="U132" s="552">
        <f t="shared" si="66"/>
        <v>74.77</v>
      </c>
      <c r="V132" s="552">
        <f t="shared" si="66"/>
        <v>84.11</v>
      </c>
      <c r="W132" s="552">
        <f t="shared" si="66"/>
        <v>93.46</v>
      </c>
      <c r="X132" s="552">
        <f t="shared" si="66"/>
        <v>93.46</v>
      </c>
      <c r="Y132" s="552">
        <f t="shared" si="66"/>
        <v>93.46</v>
      </c>
      <c r="Z132" s="552">
        <f t="shared" si="66"/>
        <v>93.46</v>
      </c>
      <c r="AA132" s="552">
        <f t="shared" si="66"/>
        <v>93.46</v>
      </c>
      <c r="AB132" s="552">
        <f t="shared" si="66"/>
        <v>0</v>
      </c>
      <c r="AC132" s="12">
        <f>AC133</f>
        <v>1037.41</v>
      </c>
      <c r="AD132" s="13">
        <f t="shared" si="64"/>
        <v>94.31000000000002</v>
      </c>
      <c r="AE132" s="12"/>
    </row>
    <row r="133" spans="1:31" s="514" customFormat="1" ht="11.25">
      <c r="A133" s="142"/>
      <c r="B133" s="513"/>
      <c r="C133" s="533" t="s">
        <v>355</v>
      </c>
      <c r="D133" s="10" t="s">
        <v>356</v>
      </c>
      <c r="E133" s="556">
        <v>1200</v>
      </c>
      <c r="F133" s="558"/>
      <c r="G133" s="558"/>
      <c r="H133" s="558"/>
      <c r="I133" s="558"/>
      <c r="J133" s="558"/>
      <c r="K133" s="558"/>
      <c r="L133" s="558"/>
      <c r="M133" s="558"/>
      <c r="N133" s="557">
        <v>-100</v>
      </c>
      <c r="O133" s="537">
        <f>E133+F133+G133+H133+I133+J133+K133+L133+M133+N133</f>
        <v>1100</v>
      </c>
      <c r="P133" s="556">
        <v>74.77</v>
      </c>
      <c r="Q133" s="556">
        <v>74.77</v>
      </c>
      <c r="R133" s="556">
        <v>74.77</v>
      </c>
      <c r="S133" s="556">
        <v>93.46</v>
      </c>
      <c r="T133" s="556">
        <v>93.46</v>
      </c>
      <c r="U133" s="556">
        <v>74.77</v>
      </c>
      <c r="V133" s="556">
        <v>84.11</v>
      </c>
      <c r="W133" s="556">
        <v>93.46</v>
      </c>
      <c r="X133" s="556">
        <v>93.46</v>
      </c>
      <c r="Y133" s="556">
        <v>93.46</v>
      </c>
      <c r="Z133" s="556">
        <v>93.46</v>
      </c>
      <c r="AA133" s="556">
        <v>93.46</v>
      </c>
      <c r="AB133" s="556"/>
      <c r="AC133" s="4">
        <f>SUM(P133:AB133)</f>
        <v>1037.41</v>
      </c>
      <c r="AD133" s="6">
        <f>AC133*100/O133</f>
        <v>94.31000000000002</v>
      </c>
      <c r="AE133" s="6" t="s">
        <v>1163</v>
      </c>
    </row>
    <row r="134" spans="1:31" s="514" customFormat="1" ht="53.25" customHeight="1" hidden="1">
      <c r="A134" s="592">
        <v>921</v>
      </c>
      <c r="B134" s="565"/>
      <c r="C134" s="565"/>
      <c r="D134" s="548" t="s">
        <v>1164</v>
      </c>
      <c r="E134" s="549">
        <f aca="true" t="shared" si="67" ref="E134:S135">E135</f>
        <v>0</v>
      </c>
      <c r="F134" s="551">
        <f t="shared" si="67"/>
        <v>0</v>
      </c>
      <c r="G134" s="551">
        <f t="shared" si="67"/>
        <v>0</v>
      </c>
      <c r="H134" s="551">
        <f t="shared" si="67"/>
        <v>0</v>
      </c>
      <c r="I134" s="551">
        <f t="shared" si="67"/>
        <v>0</v>
      </c>
      <c r="J134" s="551">
        <f t="shared" si="67"/>
        <v>0</v>
      </c>
      <c r="K134" s="551">
        <f t="shared" si="67"/>
        <v>0</v>
      </c>
      <c r="L134" s="551">
        <f t="shared" si="67"/>
        <v>0</v>
      </c>
      <c r="M134" s="551">
        <f t="shared" si="67"/>
        <v>0</v>
      </c>
      <c r="N134" s="551">
        <f t="shared" si="67"/>
        <v>0</v>
      </c>
      <c r="O134" s="593">
        <f>O135</f>
        <v>0</v>
      </c>
      <c r="P134" s="549">
        <f t="shared" si="67"/>
        <v>0</v>
      </c>
      <c r="Q134" s="549">
        <f t="shared" si="67"/>
        <v>0</v>
      </c>
      <c r="R134" s="549">
        <f t="shared" si="67"/>
        <v>0</v>
      </c>
      <c r="S134" s="549">
        <f t="shared" si="67"/>
        <v>0</v>
      </c>
      <c r="T134" s="549">
        <f aca="true" t="shared" si="68" ref="Q134:AB135">T135</f>
        <v>0</v>
      </c>
      <c r="U134" s="549">
        <f t="shared" si="68"/>
        <v>0</v>
      </c>
      <c r="V134" s="549">
        <f t="shared" si="68"/>
        <v>0</v>
      </c>
      <c r="W134" s="549">
        <f t="shared" si="68"/>
        <v>0</v>
      </c>
      <c r="X134" s="549">
        <f t="shared" si="68"/>
        <v>0</v>
      </c>
      <c r="Y134" s="549">
        <f t="shared" si="68"/>
        <v>0</v>
      </c>
      <c r="Z134" s="549">
        <f t="shared" si="68"/>
        <v>0</v>
      </c>
      <c r="AA134" s="549">
        <f t="shared" si="68"/>
        <v>0</v>
      </c>
      <c r="AB134" s="549">
        <f t="shared" si="68"/>
        <v>0</v>
      </c>
      <c r="AC134" s="593">
        <f>AC135</f>
        <v>0</v>
      </c>
      <c r="AD134" s="593" t="e">
        <f t="shared" si="64"/>
        <v>#DIV/0!</v>
      </c>
      <c r="AE134" s="593"/>
    </row>
    <row r="135" spans="1:31" s="514" customFormat="1" ht="53.25" customHeight="1" hidden="1">
      <c r="A135" s="142"/>
      <c r="B135" s="509">
        <v>92116</v>
      </c>
      <c r="C135" s="509"/>
      <c r="D135" s="510" t="s">
        <v>1165</v>
      </c>
      <c r="E135" s="552">
        <f t="shared" si="67"/>
        <v>0</v>
      </c>
      <c r="F135" s="554">
        <f t="shared" si="67"/>
        <v>0</v>
      </c>
      <c r="G135" s="554">
        <f t="shared" si="67"/>
        <v>0</v>
      </c>
      <c r="H135" s="554">
        <f t="shared" si="67"/>
        <v>0</v>
      </c>
      <c r="I135" s="554">
        <f t="shared" si="67"/>
        <v>0</v>
      </c>
      <c r="J135" s="554">
        <f t="shared" si="67"/>
        <v>0</v>
      </c>
      <c r="K135" s="554">
        <f t="shared" si="67"/>
        <v>0</v>
      </c>
      <c r="L135" s="554">
        <f t="shared" si="67"/>
        <v>0</v>
      </c>
      <c r="M135" s="554">
        <f t="shared" si="67"/>
        <v>0</v>
      </c>
      <c r="N135" s="554">
        <f t="shared" si="67"/>
        <v>0</v>
      </c>
      <c r="O135" s="542">
        <f>O136</f>
        <v>0</v>
      </c>
      <c r="P135" s="552">
        <f t="shared" si="67"/>
        <v>0</v>
      </c>
      <c r="Q135" s="552">
        <f t="shared" si="68"/>
        <v>0</v>
      </c>
      <c r="R135" s="552">
        <f t="shared" si="68"/>
        <v>0</v>
      </c>
      <c r="S135" s="552">
        <f t="shared" si="68"/>
        <v>0</v>
      </c>
      <c r="T135" s="552">
        <f t="shared" si="68"/>
        <v>0</v>
      </c>
      <c r="U135" s="552">
        <f t="shared" si="68"/>
        <v>0</v>
      </c>
      <c r="V135" s="552">
        <f t="shared" si="68"/>
        <v>0</v>
      </c>
      <c r="W135" s="552">
        <f t="shared" si="68"/>
        <v>0</v>
      </c>
      <c r="X135" s="552">
        <f t="shared" si="68"/>
        <v>0</v>
      </c>
      <c r="Y135" s="552">
        <f t="shared" si="68"/>
        <v>0</v>
      </c>
      <c r="Z135" s="552">
        <f t="shared" si="68"/>
        <v>0</v>
      </c>
      <c r="AA135" s="552">
        <f t="shared" si="68"/>
        <v>0</v>
      </c>
      <c r="AB135" s="552">
        <f t="shared" si="68"/>
        <v>0</v>
      </c>
      <c r="AC135" s="12">
        <f>AC136</f>
        <v>0</v>
      </c>
      <c r="AD135" s="13" t="e">
        <f t="shared" si="64"/>
        <v>#DIV/0!</v>
      </c>
      <c r="AE135" s="12"/>
    </row>
    <row r="136" spans="1:31" s="514" customFormat="1" ht="53.25" customHeight="1" hidden="1">
      <c r="A136" s="142"/>
      <c r="B136" s="509"/>
      <c r="C136" s="579">
        <v>2020</v>
      </c>
      <c r="D136" s="545" t="s">
        <v>1175</v>
      </c>
      <c r="E136" s="556"/>
      <c r="F136" s="558"/>
      <c r="G136" s="558"/>
      <c r="H136" s="558"/>
      <c r="I136" s="558"/>
      <c r="J136" s="558"/>
      <c r="K136" s="558"/>
      <c r="L136" s="558"/>
      <c r="M136" s="558"/>
      <c r="N136" s="558"/>
      <c r="O136" s="537">
        <f>E136+F136+G136+H136+I136+J136+K136</f>
        <v>0</v>
      </c>
      <c r="P136" s="556"/>
      <c r="Q136" s="556"/>
      <c r="R136" s="556"/>
      <c r="S136" s="556"/>
      <c r="T136" s="556"/>
      <c r="U136" s="556"/>
      <c r="V136" s="556"/>
      <c r="W136" s="556"/>
      <c r="X136" s="556"/>
      <c r="Y136" s="556"/>
      <c r="Z136" s="556"/>
      <c r="AA136" s="556"/>
      <c r="AB136" s="556"/>
      <c r="AC136" s="4">
        <f>SUM(P136:AA136)</f>
        <v>0</v>
      </c>
      <c r="AD136" s="6" t="e">
        <f>AC136*100/O136</f>
        <v>#DIV/0!</v>
      </c>
      <c r="AE136" s="4"/>
    </row>
    <row r="137" spans="1:31" s="514" customFormat="1" ht="11.25">
      <c r="A137" s="565"/>
      <c r="B137" s="547"/>
      <c r="C137" s="547"/>
      <c r="D137" s="565" t="s">
        <v>1176</v>
      </c>
      <c r="E137" s="549">
        <f aca="true" t="shared" si="69" ref="E137:AC137">E13+E16+E22+E30+E37+E44+E47+E78+E90+E108+E129+E134+E126+E6</f>
        <v>15714799</v>
      </c>
      <c r="F137" s="551">
        <f t="shared" si="69"/>
        <v>2493660</v>
      </c>
      <c r="G137" s="551">
        <f t="shared" si="69"/>
        <v>29836</v>
      </c>
      <c r="H137" s="551">
        <f t="shared" si="69"/>
        <v>935426</v>
      </c>
      <c r="I137" s="551">
        <f t="shared" si="69"/>
        <v>1977154</v>
      </c>
      <c r="J137" s="551">
        <f t="shared" si="69"/>
        <v>51826</v>
      </c>
      <c r="K137" s="551">
        <f t="shared" si="69"/>
        <v>624439</v>
      </c>
      <c r="L137" s="550">
        <f t="shared" si="69"/>
        <v>133192</v>
      </c>
      <c r="M137" s="551">
        <f t="shared" si="69"/>
        <v>449701</v>
      </c>
      <c r="N137" s="551">
        <f>N13+N16+N22+N30+N37+N44+N47+N78+N90+N108+N129+N134+N126+N6</f>
        <v>0</v>
      </c>
      <c r="O137" s="549">
        <f>O13+O16+O22+O30+O37+O44+O47+O78+O90+O108+O129+O134+O126+O6</f>
        <v>22410033</v>
      </c>
      <c r="P137" s="549">
        <f t="shared" si="69"/>
        <v>1228733.51</v>
      </c>
      <c r="Q137" s="549">
        <f t="shared" si="69"/>
        <v>1422734.6</v>
      </c>
      <c r="R137" s="549">
        <f t="shared" si="69"/>
        <v>4115715.4300000006</v>
      </c>
      <c r="S137" s="549">
        <f t="shared" si="69"/>
        <v>1198935.5699999998</v>
      </c>
      <c r="T137" s="549">
        <f t="shared" si="69"/>
        <v>1750033.3299999998</v>
      </c>
      <c r="U137" s="549">
        <f t="shared" si="69"/>
        <v>1034196.14</v>
      </c>
      <c r="V137" s="549">
        <f t="shared" si="69"/>
        <v>2037237.7700000003</v>
      </c>
      <c r="W137" s="549">
        <f t="shared" si="69"/>
        <v>3415586.6099999994</v>
      </c>
      <c r="X137" s="549">
        <f t="shared" si="69"/>
        <v>2024287.9900000002</v>
      </c>
      <c r="Y137" s="549">
        <f t="shared" si="69"/>
        <v>1486581.4200000002</v>
      </c>
      <c r="Z137" s="549">
        <f t="shared" si="69"/>
        <v>1550290.22</v>
      </c>
      <c r="AA137" s="549">
        <f>AA13+AA16+AA22+AA30+AA37+AA44+AA47+AA78+AA90+AA108+AA129+AA134+AA126+AA6</f>
        <v>906559.2</v>
      </c>
      <c r="AB137" s="549">
        <f>AB13+AB16+AB22+AB30+AB37+AB44+AB47+AB78+AB90+AB108+AB129+AB134+AB126+AB6</f>
        <v>345085.24</v>
      </c>
      <c r="AC137" s="549">
        <f t="shared" si="69"/>
        <v>22515977.029999997</v>
      </c>
      <c r="AD137" s="549">
        <f t="shared" si="64"/>
        <v>100.47275267287645</v>
      </c>
      <c r="AE137" s="549"/>
    </row>
    <row r="138" spans="5:28" s="514" customFormat="1" ht="11.25">
      <c r="E138" s="594"/>
      <c r="F138" s="594"/>
      <c r="G138" s="595"/>
      <c r="H138" s="595"/>
      <c r="I138" s="595"/>
      <c r="J138" s="595"/>
      <c r="K138" s="595"/>
      <c r="L138" s="595"/>
      <c r="M138" s="595"/>
      <c r="N138" s="595"/>
      <c r="O138" s="572"/>
      <c r="P138" s="594"/>
      <c r="Q138" s="594"/>
      <c r="R138" s="594"/>
      <c r="S138" s="594"/>
      <c r="T138" s="594"/>
      <c r="U138" s="594"/>
      <c r="V138" s="594"/>
      <c r="W138" s="594"/>
      <c r="X138" s="594"/>
      <c r="Y138" s="594"/>
      <c r="Z138" s="594"/>
      <c r="AA138" s="594"/>
      <c r="AB138" s="594"/>
    </row>
    <row r="139" spans="5:31" s="514" customFormat="1" ht="11.25">
      <c r="E139" s="596"/>
      <c r="F139" s="596"/>
      <c r="G139" s="597"/>
      <c r="H139" s="597"/>
      <c r="I139" s="597"/>
      <c r="J139" s="597"/>
      <c r="K139" s="597"/>
      <c r="L139" s="597"/>
      <c r="M139" s="597"/>
      <c r="N139" s="597"/>
      <c r="O139" s="598"/>
      <c r="P139" s="596"/>
      <c r="Q139" s="596"/>
      <c r="R139" s="596"/>
      <c r="S139" s="596"/>
      <c r="T139" s="596"/>
      <c r="U139" s="596"/>
      <c r="V139" s="596"/>
      <c r="W139" s="596"/>
      <c r="X139" s="596"/>
      <c r="Y139" s="596"/>
      <c r="Z139" s="596"/>
      <c r="AA139" s="596"/>
      <c r="AB139" s="596"/>
      <c r="AC139" s="14"/>
      <c r="AE139" s="14"/>
    </row>
    <row r="140" ht="11.25">
      <c r="O140" s="504"/>
    </row>
    <row r="141" spans="5:31" ht="11.25">
      <c r="E141" s="599"/>
      <c r="F141" s="599"/>
      <c r="G141" s="600"/>
      <c r="H141" s="600"/>
      <c r="I141" s="600"/>
      <c r="J141" s="600"/>
      <c r="K141" s="600"/>
      <c r="L141" s="600"/>
      <c r="M141" s="600"/>
      <c r="N141" s="600"/>
      <c r="O141" s="504"/>
      <c r="P141" s="599"/>
      <c r="Y141" s="599"/>
      <c r="AC141" s="601"/>
      <c r="AE141" s="601"/>
    </row>
    <row r="142" ht="11.25">
      <c r="O142" s="504"/>
    </row>
    <row r="143" ht="11.25">
      <c r="O143" s="504"/>
    </row>
    <row r="144" ht="11.25">
      <c r="O144" s="504"/>
    </row>
    <row r="145" ht="11.25">
      <c r="O145" s="504"/>
    </row>
    <row r="146" ht="11.25">
      <c r="O146" s="504"/>
    </row>
    <row r="147" ht="11.25">
      <c r="O147" s="504"/>
    </row>
    <row r="148" ht="11.25">
      <c r="O148" s="504"/>
    </row>
    <row r="149" ht="11.25">
      <c r="O149" s="504"/>
    </row>
    <row r="150" ht="11.25">
      <c r="O150" s="504"/>
    </row>
    <row r="151" ht="11.25">
      <c r="O151" s="504"/>
    </row>
    <row r="152" ht="11.25">
      <c r="O152" s="504"/>
    </row>
    <row r="153" ht="11.25">
      <c r="O153" s="504"/>
    </row>
    <row r="154" ht="11.25">
      <c r="O154" s="504"/>
    </row>
    <row r="155" ht="11.25">
      <c r="O155" s="504"/>
    </row>
    <row r="156" ht="11.25">
      <c r="O156" s="504"/>
    </row>
    <row r="157" ht="11.25">
      <c r="O157" s="504"/>
    </row>
    <row r="158" ht="11.25">
      <c r="O158" s="504"/>
    </row>
    <row r="159" ht="11.25">
      <c r="O159" s="504"/>
    </row>
    <row r="160" ht="11.25">
      <c r="O160" s="504"/>
    </row>
    <row r="161" ht="11.25">
      <c r="O161" s="504"/>
    </row>
    <row r="162" ht="11.25">
      <c r="O162" s="504"/>
    </row>
    <row r="163" ht="11.25">
      <c r="O163" s="504"/>
    </row>
    <row r="164" ht="11.25">
      <c r="O164" s="504"/>
    </row>
    <row r="165" ht="11.25">
      <c r="O165" s="504"/>
    </row>
    <row r="166" ht="53.25" customHeight="1">
      <c r="O166" s="504"/>
    </row>
    <row r="167" ht="53.25" customHeight="1">
      <c r="O167" s="504"/>
    </row>
    <row r="168" ht="53.25" customHeight="1">
      <c r="O168" s="504"/>
    </row>
    <row r="169" ht="53.25" customHeight="1">
      <c r="O169" s="504"/>
    </row>
    <row r="170" ht="53.25" customHeight="1">
      <c r="O170" s="504"/>
    </row>
    <row r="171" ht="53.25" customHeight="1">
      <c r="O171" s="504"/>
    </row>
    <row r="172" ht="53.25" customHeight="1">
      <c r="O172" s="504"/>
    </row>
    <row r="173" ht="53.25" customHeight="1">
      <c r="O173" s="504"/>
    </row>
    <row r="174" ht="53.25" customHeight="1">
      <c r="O174" s="504"/>
    </row>
    <row r="175" ht="53.25" customHeight="1">
      <c r="O175" s="504"/>
    </row>
    <row r="176" ht="53.25" customHeight="1">
      <c r="O176" s="504"/>
    </row>
    <row r="177" ht="53.25" customHeight="1">
      <c r="O177" s="504"/>
    </row>
    <row r="178" ht="53.25" customHeight="1">
      <c r="O178" s="504"/>
    </row>
    <row r="179" ht="53.25" customHeight="1">
      <c r="O179" s="504"/>
    </row>
    <row r="180" ht="53.25" customHeight="1">
      <c r="O180" s="504"/>
    </row>
    <row r="181" ht="53.25" customHeight="1">
      <c r="O181" s="504"/>
    </row>
    <row r="182" ht="53.25" customHeight="1">
      <c r="O182" s="504"/>
    </row>
    <row r="183" ht="53.25" customHeight="1">
      <c r="O183" s="504"/>
    </row>
    <row r="184" ht="53.25" customHeight="1">
      <c r="O184" s="504"/>
    </row>
    <row r="185" ht="53.25" customHeight="1">
      <c r="O185" s="504"/>
    </row>
    <row r="186" ht="53.25" customHeight="1">
      <c r="O186" s="504"/>
    </row>
    <row r="187" ht="53.25" customHeight="1">
      <c r="O187" s="504"/>
    </row>
    <row r="188" ht="53.25" customHeight="1">
      <c r="O188" s="504"/>
    </row>
    <row r="189" ht="53.25" customHeight="1">
      <c r="O189" s="504"/>
    </row>
    <row r="190" ht="53.25" customHeight="1">
      <c r="O190" s="504"/>
    </row>
    <row r="191" ht="53.25" customHeight="1">
      <c r="O191" s="504"/>
    </row>
    <row r="192" ht="53.25" customHeight="1">
      <c r="O192" s="504"/>
    </row>
    <row r="193" ht="53.25" customHeight="1">
      <c r="O193" s="504"/>
    </row>
    <row r="194" ht="53.25" customHeight="1">
      <c r="O194" s="504"/>
    </row>
    <row r="195" ht="53.25" customHeight="1">
      <c r="O195" s="504"/>
    </row>
    <row r="196" ht="53.25" customHeight="1">
      <c r="O196" s="504"/>
    </row>
    <row r="197" ht="53.25" customHeight="1">
      <c r="O197" s="504"/>
    </row>
    <row r="198" ht="53.25" customHeight="1">
      <c r="O198" s="504"/>
    </row>
    <row r="199" ht="53.25" customHeight="1">
      <c r="O199" s="504"/>
    </row>
    <row r="200" ht="53.25" customHeight="1">
      <c r="O200" s="504"/>
    </row>
    <row r="201" ht="53.25" customHeight="1">
      <c r="O201" s="504"/>
    </row>
    <row r="202" ht="53.25" customHeight="1">
      <c r="O202" s="504"/>
    </row>
    <row r="203" ht="53.25" customHeight="1">
      <c r="O203" s="504"/>
    </row>
    <row r="204" ht="53.25" customHeight="1">
      <c r="O204" s="504"/>
    </row>
    <row r="205" ht="53.25" customHeight="1">
      <c r="O205" s="504"/>
    </row>
    <row r="206" ht="53.25" customHeight="1">
      <c r="O206" s="504"/>
    </row>
    <row r="207" ht="53.25" customHeight="1">
      <c r="O207" s="504"/>
    </row>
    <row r="208" ht="53.25" customHeight="1">
      <c r="O208" s="504"/>
    </row>
    <row r="209" ht="53.25" customHeight="1">
      <c r="O209" s="504"/>
    </row>
    <row r="210" ht="53.25" customHeight="1">
      <c r="O210" s="504"/>
    </row>
    <row r="211" ht="53.25" customHeight="1">
      <c r="O211" s="504"/>
    </row>
    <row r="212" ht="53.25" customHeight="1">
      <c r="O212" s="504"/>
    </row>
    <row r="213" ht="53.25" customHeight="1">
      <c r="O213" s="504"/>
    </row>
    <row r="214" ht="53.25" customHeight="1">
      <c r="O214" s="504"/>
    </row>
    <row r="215" ht="53.25" customHeight="1">
      <c r="O215" s="504"/>
    </row>
    <row r="216" ht="53.25" customHeight="1">
      <c r="O216" s="504"/>
    </row>
    <row r="217" ht="53.25" customHeight="1">
      <c r="O217" s="504"/>
    </row>
    <row r="218" ht="53.25" customHeight="1">
      <c r="O218" s="504"/>
    </row>
    <row r="219" ht="53.25" customHeight="1">
      <c r="O219" s="504"/>
    </row>
    <row r="220" ht="53.25" customHeight="1">
      <c r="O220" s="504"/>
    </row>
    <row r="221" ht="53.25" customHeight="1">
      <c r="O221" s="504"/>
    </row>
    <row r="222" ht="53.25" customHeight="1">
      <c r="O222" s="504"/>
    </row>
    <row r="223" ht="53.25" customHeight="1">
      <c r="O223" s="504"/>
    </row>
    <row r="224" ht="53.25" customHeight="1">
      <c r="O224" s="504"/>
    </row>
    <row r="225" ht="53.25" customHeight="1">
      <c r="O225" s="504"/>
    </row>
    <row r="226" ht="53.25" customHeight="1">
      <c r="O226" s="504"/>
    </row>
    <row r="227" ht="53.25" customHeight="1">
      <c r="O227" s="504"/>
    </row>
    <row r="228" ht="53.25" customHeight="1">
      <c r="O228" s="504"/>
    </row>
    <row r="229" ht="53.25" customHeight="1">
      <c r="O229" s="504"/>
    </row>
    <row r="230" ht="53.25" customHeight="1">
      <c r="O230" s="504"/>
    </row>
    <row r="231" ht="53.25" customHeight="1">
      <c r="O231" s="504"/>
    </row>
    <row r="232" ht="53.25" customHeight="1">
      <c r="O232" s="504"/>
    </row>
    <row r="233" ht="53.25" customHeight="1">
      <c r="O233" s="504"/>
    </row>
    <row r="234" ht="53.25" customHeight="1">
      <c r="O234" s="504"/>
    </row>
    <row r="235" ht="53.25" customHeight="1">
      <c r="O235" s="504"/>
    </row>
    <row r="236" ht="53.25" customHeight="1">
      <c r="O236" s="504"/>
    </row>
    <row r="237" ht="53.25" customHeight="1">
      <c r="O237" s="504"/>
    </row>
    <row r="238" ht="53.25" customHeight="1">
      <c r="O238" s="504"/>
    </row>
    <row r="239" ht="53.25" customHeight="1">
      <c r="O239" s="504"/>
    </row>
    <row r="240" ht="53.25" customHeight="1">
      <c r="O240" s="504"/>
    </row>
    <row r="241" ht="53.25" customHeight="1">
      <c r="O241" s="504"/>
    </row>
    <row r="242" ht="53.25" customHeight="1">
      <c r="O242" s="504"/>
    </row>
    <row r="243" ht="53.25" customHeight="1">
      <c r="O243" s="504"/>
    </row>
    <row r="244" ht="53.25" customHeight="1">
      <c r="O244" s="504"/>
    </row>
    <row r="245" ht="53.25" customHeight="1">
      <c r="O245" s="504"/>
    </row>
    <row r="246" ht="53.25" customHeight="1">
      <c r="O246" s="504"/>
    </row>
    <row r="247" ht="53.25" customHeight="1">
      <c r="O247" s="504"/>
    </row>
    <row r="248" ht="53.25" customHeight="1">
      <c r="O248" s="504"/>
    </row>
    <row r="249" ht="53.25" customHeight="1">
      <c r="O249" s="504"/>
    </row>
    <row r="250" ht="53.25" customHeight="1">
      <c r="O250" s="504"/>
    </row>
    <row r="251" ht="53.25" customHeight="1">
      <c r="O251" s="504"/>
    </row>
    <row r="252" ht="53.25" customHeight="1">
      <c r="O252" s="504"/>
    </row>
    <row r="253" ht="53.25" customHeight="1">
      <c r="O253" s="504"/>
    </row>
    <row r="254" ht="53.25" customHeight="1">
      <c r="O254" s="504"/>
    </row>
    <row r="255" ht="53.25" customHeight="1">
      <c r="O255" s="504"/>
    </row>
    <row r="256" ht="53.25" customHeight="1">
      <c r="O256" s="504"/>
    </row>
    <row r="257" ht="53.25" customHeight="1">
      <c r="O257" s="504"/>
    </row>
    <row r="258" ht="53.25" customHeight="1">
      <c r="O258" s="504"/>
    </row>
    <row r="259" ht="53.25" customHeight="1">
      <c r="O259" s="504"/>
    </row>
    <row r="260" ht="53.25" customHeight="1">
      <c r="O260" s="504"/>
    </row>
    <row r="261" ht="53.25" customHeight="1">
      <c r="O261" s="504"/>
    </row>
    <row r="262" ht="53.25" customHeight="1">
      <c r="O262" s="504"/>
    </row>
    <row r="263" ht="53.25" customHeight="1">
      <c r="O263" s="504"/>
    </row>
    <row r="264" ht="53.25" customHeight="1">
      <c r="O264" s="504"/>
    </row>
    <row r="265" ht="53.25" customHeight="1">
      <c r="O265" s="504"/>
    </row>
    <row r="266" ht="53.25" customHeight="1">
      <c r="O266" s="504"/>
    </row>
    <row r="267" ht="53.25" customHeight="1">
      <c r="O267" s="504"/>
    </row>
    <row r="268" ht="53.25" customHeight="1">
      <c r="O268" s="504"/>
    </row>
    <row r="269" ht="53.25" customHeight="1">
      <c r="O269" s="504"/>
    </row>
    <row r="270" ht="53.25" customHeight="1">
      <c r="O270" s="504"/>
    </row>
    <row r="271" ht="53.25" customHeight="1">
      <c r="O271" s="504"/>
    </row>
    <row r="272" ht="53.25" customHeight="1">
      <c r="O272" s="504"/>
    </row>
    <row r="273" ht="53.25" customHeight="1">
      <c r="O273" s="504"/>
    </row>
    <row r="274" ht="53.25" customHeight="1">
      <c r="O274" s="504"/>
    </row>
    <row r="275" ht="53.25" customHeight="1">
      <c r="O275" s="504"/>
    </row>
    <row r="276" ht="53.25" customHeight="1">
      <c r="O276" s="504"/>
    </row>
    <row r="277" ht="53.25" customHeight="1">
      <c r="O277" s="504"/>
    </row>
    <row r="278" ht="53.25" customHeight="1">
      <c r="O278" s="504"/>
    </row>
    <row r="279" ht="53.25" customHeight="1">
      <c r="O279" s="504"/>
    </row>
    <row r="280" ht="53.25" customHeight="1">
      <c r="O280" s="504"/>
    </row>
    <row r="281" ht="53.25" customHeight="1">
      <c r="O281" s="504"/>
    </row>
    <row r="282" ht="53.25" customHeight="1">
      <c r="O282" s="504"/>
    </row>
    <row r="283" ht="53.25" customHeight="1">
      <c r="O283" s="504"/>
    </row>
    <row r="284" ht="53.25" customHeight="1">
      <c r="O284" s="504"/>
    </row>
    <row r="285" ht="53.25" customHeight="1">
      <c r="O285" s="504"/>
    </row>
    <row r="286" ht="53.25" customHeight="1">
      <c r="O286" s="504"/>
    </row>
    <row r="287" ht="53.25" customHeight="1">
      <c r="O287" s="504"/>
    </row>
    <row r="288" ht="53.25" customHeight="1">
      <c r="O288" s="504"/>
    </row>
    <row r="289" ht="53.25" customHeight="1">
      <c r="O289" s="504"/>
    </row>
    <row r="290" ht="53.25" customHeight="1">
      <c r="O290" s="504"/>
    </row>
    <row r="291" ht="53.25" customHeight="1">
      <c r="O291" s="504"/>
    </row>
    <row r="292" ht="53.25" customHeight="1">
      <c r="O292" s="504"/>
    </row>
    <row r="293" ht="53.25" customHeight="1">
      <c r="O293" s="504"/>
    </row>
    <row r="294" ht="53.25" customHeight="1">
      <c r="O294" s="504"/>
    </row>
    <row r="295" ht="53.25" customHeight="1">
      <c r="O295" s="504"/>
    </row>
    <row r="296" ht="53.25" customHeight="1">
      <c r="O296" s="504"/>
    </row>
    <row r="297" ht="53.25" customHeight="1">
      <c r="O297" s="504"/>
    </row>
    <row r="298" ht="53.25" customHeight="1">
      <c r="O298" s="504"/>
    </row>
    <row r="299" ht="53.25" customHeight="1">
      <c r="O299" s="504"/>
    </row>
    <row r="300" ht="53.25" customHeight="1">
      <c r="O300" s="504"/>
    </row>
    <row r="301" ht="53.25" customHeight="1">
      <c r="O301" s="504"/>
    </row>
    <row r="302" ht="53.25" customHeight="1">
      <c r="O302" s="504"/>
    </row>
    <row r="303" ht="53.25" customHeight="1">
      <c r="O303" s="504"/>
    </row>
    <row r="304" ht="53.25" customHeight="1">
      <c r="O304" s="504"/>
    </row>
    <row r="305" ht="53.25" customHeight="1">
      <c r="O305" s="504"/>
    </row>
    <row r="306" ht="53.25" customHeight="1">
      <c r="O306" s="504"/>
    </row>
    <row r="307" ht="53.25" customHeight="1">
      <c r="O307" s="504"/>
    </row>
    <row r="308" ht="53.25" customHeight="1">
      <c r="O308" s="504"/>
    </row>
    <row r="309" ht="53.25" customHeight="1">
      <c r="O309" s="504"/>
    </row>
    <row r="310" ht="53.25" customHeight="1">
      <c r="O310" s="504"/>
    </row>
    <row r="311" ht="53.25" customHeight="1">
      <c r="O311" s="504"/>
    </row>
    <row r="312" ht="53.25" customHeight="1">
      <c r="O312" s="504"/>
    </row>
    <row r="313" ht="53.25" customHeight="1">
      <c r="O313" s="504"/>
    </row>
    <row r="314" ht="53.25" customHeight="1">
      <c r="O314" s="504"/>
    </row>
    <row r="315" ht="53.25" customHeight="1">
      <c r="O315" s="504"/>
    </row>
    <row r="316" ht="53.25" customHeight="1">
      <c r="O316" s="504"/>
    </row>
    <row r="317" ht="53.25" customHeight="1">
      <c r="O317" s="504"/>
    </row>
    <row r="318" ht="53.25" customHeight="1">
      <c r="O318" s="504"/>
    </row>
    <row r="319" ht="53.25" customHeight="1">
      <c r="O319" s="504"/>
    </row>
    <row r="320" ht="53.25" customHeight="1">
      <c r="O320" s="504"/>
    </row>
    <row r="321" ht="53.25" customHeight="1">
      <c r="O321" s="504"/>
    </row>
    <row r="322" ht="53.25" customHeight="1">
      <c r="O322" s="504"/>
    </row>
    <row r="323" ht="53.25" customHeight="1">
      <c r="O323" s="504"/>
    </row>
    <row r="324" ht="53.25" customHeight="1">
      <c r="O324" s="504"/>
    </row>
    <row r="325" ht="53.25" customHeight="1">
      <c r="O325" s="504"/>
    </row>
    <row r="326" ht="53.25" customHeight="1">
      <c r="O326" s="504"/>
    </row>
    <row r="327" ht="53.25" customHeight="1">
      <c r="O327" s="504"/>
    </row>
    <row r="328" ht="53.25" customHeight="1">
      <c r="O328" s="504"/>
    </row>
    <row r="329" ht="53.25" customHeight="1">
      <c r="O329" s="504"/>
    </row>
    <row r="330" ht="53.25" customHeight="1">
      <c r="O330" s="504"/>
    </row>
    <row r="331" ht="53.25" customHeight="1">
      <c r="O331" s="504"/>
    </row>
    <row r="332" ht="53.25" customHeight="1">
      <c r="O332" s="504"/>
    </row>
    <row r="333" ht="53.25" customHeight="1">
      <c r="O333" s="504"/>
    </row>
    <row r="334" ht="53.25" customHeight="1">
      <c r="O334" s="504"/>
    </row>
    <row r="335" ht="53.25" customHeight="1">
      <c r="O335" s="504"/>
    </row>
    <row r="336" ht="53.25" customHeight="1">
      <c r="O336" s="504"/>
    </row>
    <row r="337" ht="53.25" customHeight="1">
      <c r="O337" s="504"/>
    </row>
    <row r="338" ht="53.25" customHeight="1">
      <c r="O338" s="504"/>
    </row>
    <row r="339" ht="53.25" customHeight="1">
      <c r="O339" s="504"/>
    </row>
    <row r="340" ht="53.25" customHeight="1">
      <c r="O340" s="504"/>
    </row>
    <row r="341" ht="53.25" customHeight="1">
      <c r="O341" s="504"/>
    </row>
    <row r="342" ht="53.25" customHeight="1">
      <c r="O342" s="504"/>
    </row>
    <row r="343" ht="53.25" customHeight="1">
      <c r="O343" s="504"/>
    </row>
    <row r="344" ht="53.25" customHeight="1">
      <c r="O344" s="504"/>
    </row>
    <row r="345" ht="53.25" customHeight="1">
      <c r="O345" s="504"/>
    </row>
    <row r="346" ht="53.25" customHeight="1">
      <c r="O346" s="504"/>
    </row>
    <row r="347" ht="53.25" customHeight="1">
      <c r="O347" s="504"/>
    </row>
    <row r="348" ht="53.25" customHeight="1">
      <c r="O348" s="504"/>
    </row>
    <row r="349" ht="53.25" customHeight="1">
      <c r="O349" s="504"/>
    </row>
    <row r="350" ht="53.25" customHeight="1">
      <c r="O350" s="504"/>
    </row>
    <row r="351" ht="53.25" customHeight="1">
      <c r="O351" s="504"/>
    </row>
    <row r="352" ht="53.25" customHeight="1">
      <c r="O352" s="504"/>
    </row>
    <row r="353" ht="53.25" customHeight="1">
      <c r="O353" s="504"/>
    </row>
    <row r="354" ht="53.25" customHeight="1">
      <c r="O354" s="504"/>
    </row>
    <row r="355" ht="53.25" customHeight="1">
      <c r="O355" s="504"/>
    </row>
    <row r="356" ht="53.25" customHeight="1">
      <c r="O356" s="504"/>
    </row>
    <row r="357" ht="53.25" customHeight="1">
      <c r="O357" s="504"/>
    </row>
    <row r="358" ht="53.25" customHeight="1">
      <c r="O358" s="504"/>
    </row>
    <row r="359" ht="53.25" customHeight="1">
      <c r="O359" s="504"/>
    </row>
    <row r="360" ht="53.25" customHeight="1">
      <c r="O360" s="504"/>
    </row>
    <row r="361" ht="53.25" customHeight="1">
      <c r="O361" s="504"/>
    </row>
    <row r="362" ht="53.25" customHeight="1">
      <c r="O362" s="504"/>
    </row>
    <row r="363" ht="53.25" customHeight="1">
      <c r="O363" s="504"/>
    </row>
    <row r="364" ht="53.25" customHeight="1">
      <c r="O364" s="504"/>
    </row>
    <row r="365" ht="53.25" customHeight="1">
      <c r="O365" s="504"/>
    </row>
    <row r="366" ht="53.25" customHeight="1">
      <c r="O366" s="504"/>
    </row>
    <row r="367" ht="53.25" customHeight="1">
      <c r="O367" s="504"/>
    </row>
    <row r="368" ht="53.25" customHeight="1">
      <c r="O368" s="504"/>
    </row>
    <row r="369" ht="53.25" customHeight="1">
      <c r="O369" s="504"/>
    </row>
    <row r="370" ht="53.25" customHeight="1">
      <c r="O370" s="504"/>
    </row>
    <row r="371" ht="53.25" customHeight="1">
      <c r="O371" s="504"/>
    </row>
    <row r="372" ht="53.25" customHeight="1">
      <c r="O372" s="504"/>
    </row>
    <row r="373" ht="53.25" customHeight="1">
      <c r="O373" s="504"/>
    </row>
    <row r="374" ht="53.25" customHeight="1">
      <c r="O374" s="504"/>
    </row>
    <row r="375" ht="53.25" customHeight="1">
      <c r="O375" s="504"/>
    </row>
    <row r="376" ht="53.25" customHeight="1">
      <c r="O376" s="504"/>
    </row>
    <row r="377" ht="53.25" customHeight="1">
      <c r="O377" s="504"/>
    </row>
    <row r="378" ht="53.25" customHeight="1">
      <c r="O378" s="504"/>
    </row>
    <row r="379" ht="53.25" customHeight="1">
      <c r="O379" s="504"/>
    </row>
    <row r="380" ht="53.25" customHeight="1">
      <c r="O380" s="504"/>
    </row>
    <row r="381" ht="53.25" customHeight="1">
      <c r="O381" s="504"/>
    </row>
    <row r="382" ht="53.25" customHeight="1">
      <c r="O382" s="504"/>
    </row>
    <row r="383" ht="53.25" customHeight="1">
      <c r="O383" s="504"/>
    </row>
    <row r="384" ht="53.25" customHeight="1">
      <c r="O384" s="504"/>
    </row>
    <row r="385" ht="53.25" customHeight="1">
      <c r="O385" s="504"/>
    </row>
    <row r="386" ht="53.25" customHeight="1">
      <c r="O386" s="504"/>
    </row>
    <row r="387" ht="53.25" customHeight="1">
      <c r="O387" s="504"/>
    </row>
    <row r="388" ht="53.25" customHeight="1">
      <c r="O388" s="504"/>
    </row>
    <row r="389" ht="53.25" customHeight="1">
      <c r="O389" s="504"/>
    </row>
    <row r="390" ht="53.25" customHeight="1">
      <c r="O390" s="504"/>
    </row>
    <row r="391" ht="53.25" customHeight="1">
      <c r="O391" s="504"/>
    </row>
    <row r="392" ht="53.25" customHeight="1">
      <c r="O392" s="504"/>
    </row>
    <row r="393" ht="53.25" customHeight="1">
      <c r="O393" s="504"/>
    </row>
    <row r="394" ht="53.25" customHeight="1">
      <c r="O394" s="504"/>
    </row>
    <row r="395" ht="53.25" customHeight="1">
      <c r="O395" s="504"/>
    </row>
    <row r="396" ht="53.25" customHeight="1">
      <c r="O396" s="504"/>
    </row>
    <row r="397" ht="53.25" customHeight="1">
      <c r="O397" s="504"/>
    </row>
    <row r="398" ht="53.25" customHeight="1">
      <c r="O398" s="504"/>
    </row>
    <row r="399" ht="53.25" customHeight="1">
      <c r="O399" s="504"/>
    </row>
    <row r="400" ht="53.25" customHeight="1">
      <c r="O400" s="504"/>
    </row>
    <row r="401" ht="53.25" customHeight="1">
      <c r="O401" s="504"/>
    </row>
    <row r="402" ht="53.25" customHeight="1">
      <c r="O402" s="504"/>
    </row>
    <row r="403" ht="53.25" customHeight="1">
      <c r="O403" s="504"/>
    </row>
    <row r="404" ht="53.25" customHeight="1">
      <c r="O404" s="504"/>
    </row>
    <row r="405" ht="53.25" customHeight="1">
      <c r="O405" s="504"/>
    </row>
    <row r="406" ht="53.25" customHeight="1">
      <c r="O406" s="504"/>
    </row>
    <row r="407" ht="53.25" customHeight="1">
      <c r="O407" s="504"/>
    </row>
    <row r="408" ht="53.25" customHeight="1">
      <c r="O408" s="504"/>
    </row>
    <row r="409" ht="53.25" customHeight="1">
      <c r="O409" s="504"/>
    </row>
    <row r="410" ht="53.25" customHeight="1">
      <c r="O410" s="504"/>
    </row>
    <row r="411" ht="53.25" customHeight="1">
      <c r="O411" s="504"/>
    </row>
    <row r="412" ht="53.25" customHeight="1">
      <c r="O412" s="504"/>
    </row>
    <row r="413" ht="53.25" customHeight="1">
      <c r="O413" s="504"/>
    </row>
    <row r="414" ht="53.25" customHeight="1">
      <c r="O414" s="504"/>
    </row>
    <row r="415" ht="53.25" customHeight="1">
      <c r="O415" s="504"/>
    </row>
    <row r="416" ht="53.25" customHeight="1">
      <c r="O416" s="504"/>
    </row>
    <row r="417" ht="53.25" customHeight="1">
      <c r="O417" s="504"/>
    </row>
    <row r="418" ht="53.25" customHeight="1">
      <c r="O418" s="504"/>
    </row>
    <row r="419" ht="53.25" customHeight="1">
      <c r="O419" s="504"/>
    </row>
    <row r="420" ht="53.25" customHeight="1">
      <c r="O420" s="504"/>
    </row>
    <row r="421" ht="53.25" customHeight="1">
      <c r="O421" s="504"/>
    </row>
    <row r="422" ht="53.25" customHeight="1">
      <c r="O422" s="504"/>
    </row>
    <row r="423" ht="53.25" customHeight="1">
      <c r="O423" s="504"/>
    </row>
    <row r="424" ht="53.25" customHeight="1">
      <c r="O424" s="504"/>
    </row>
    <row r="425" ht="53.25" customHeight="1">
      <c r="O425" s="504"/>
    </row>
    <row r="426" ht="53.25" customHeight="1">
      <c r="O426" s="504"/>
    </row>
    <row r="427" ht="53.25" customHeight="1">
      <c r="O427" s="504"/>
    </row>
    <row r="428" ht="53.25" customHeight="1">
      <c r="O428" s="504"/>
    </row>
    <row r="429" ht="53.25" customHeight="1">
      <c r="O429" s="504"/>
    </row>
    <row r="430" ht="53.25" customHeight="1">
      <c r="O430" s="504"/>
    </row>
    <row r="431" ht="53.25" customHeight="1">
      <c r="O431" s="504"/>
    </row>
    <row r="432" ht="53.25" customHeight="1">
      <c r="O432" s="504"/>
    </row>
    <row r="433" ht="53.25" customHeight="1">
      <c r="O433" s="504"/>
    </row>
    <row r="434" ht="53.25" customHeight="1">
      <c r="O434" s="504"/>
    </row>
    <row r="435" ht="53.25" customHeight="1">
      <c r="O435" s="504"/>
    </row>
    <row r="436" ht="53.25" customHeight="1">
      <c r="O436" s="504"/>
    </row>
    <row r="437" ht="53.25" customHeight="1">
      <c r="O437" s="504"/>
    </row>
    <row r="438" ht="53.25" customHeight="1">
      <c r="O438" s="504"/>
    </row>
    <row r="439" ht="53.25" customHeight="1">
      <c r="O439" s="504"/>
    </row>
    <row r="440" ht="53.25" customHeight="1">
      <c r="O440" s="504"/>
    </row>
    <row r="441" ht="53.25" customHeight="1">
      <c r="O441" s="504"/>
    </row>
    <row r="442" ht="53.25" customHeight="1">
      <c r="O442" s="504"/>
    </row>
    <row r="443" ht="53.25" customHeight="1">
      <c r="O443" s="504"/>
    </row>
    <row r="444" ht="53.25" customHeight="1">
      <c r="O444" s="504"/>
    </row>
    <row r="445" ht="53.25" customHeight="1">
      <c r="O445" s="504"/>
    </row>
    <row r="446" ht="53.25" customHeight="1">
      <c r="O446" s="504"/>
    </row>
    <row r="447" ht="53.25" customHeight="1">
      <c r="O447" s="504"/>
    </row>
    <row r="448" ht="53.25" customHeight="1">
      <c r="O448" s="504"/>
    </row>
    <row r="449" ht="53.25" customHeight="1">
      <c r="O449" s="504"/>
    </row>
    <row r="450" ht="53.25" customHeight="1">
      <c r="O450" s="504"/>
    </row>
    <row r="451" ht="53.25" customHeight="1">
      <c r="O451" s="504"/>
    </row>
    <row r="452" ht="53.25" customHeight="1">
      <c r="O452" s="504"/>
    </row>
    <row r="453" ht="53.25" customHeight="1">
      <c r="O453" s="504"/>
    </row>
    <row r="454" ht="53.25" customHeight="1">
      <c r="O454" s="504"/>
    </row>
    <row r="455" ht="53.25" customHeight="1">
      <c r="O455" s="504"/>
    </row>
    <row r="456" ht="53.25" customHeight="1">
      <c r="O456" s="504"/>
    </row>
    <row r="457" ht="53.25" customHeight="1">
      <c r="O457" s="504"/>
    </row>
    <row r="458" ht="53.25" customHeight="1">
      <c r="O458" s="504"/>
    </row>
    <row r="459" ht="53.25" customHeight="1">
      <c r="O459" s="504"/>
    </row>
    <row r="460" ht="53.25" customHeight="1">
      <c r="O460" s="504"/>
    </row>
    <row r="461" ht="53.25" customHeight="1">
      <c r="O461" s="504"/>
    </row>
    <row r="462" ht="53.25" customHeight="1">
      <c r="O462" s="504"/>
    </row>
    <row r="463" ht="53.25" customHeight="1">
      <c r="O463" s="504"/>
    </row>
    <row r="464" ht="53.25" customHeight="1">
      <c r="O464" s="504"/>
    </row>
    <row r="465" ht="53.25" customHeight="1">
      <c r="O465" s="504"/>
    </row>
    <row r="466" ht="53.25" customHeight="1">
      <c r="O466" s="504"/>
    </row>
    <row r="467" ht="53.25" customHeight="1">
      <c r="O467" s="504"/>
    </row>
    <row r="468" ht="53.25" customHeight="1">
      <c r="O468" s="504"/>
    </row>
    <row r="469" ht="53.25" customHeight="1">
      <c r="O469" s="504"/>
    </row>
    <row r="470" ht="53.25" customHeight="1">
      <c r="O470" s="504"/>
    </row>
    <row r="471" ht="53.25" customHeight="1">
      <c r="O471" s="504"/>
    </row>
    <row r="472" ht="53.25" customHeight="1">
      <c r="O472" s="504"/>
    </row>
    <row r="473" ht="53.25" customHeight="1">
      <c r="O473" s="504"/>
    </row>
    <row r="474" ht="53.25" customHeight="1">
      <c r="O474" s="504"/>
    </row>
    <row r="475" ht="53.25" customHeight="1">
      <c r="O475" s="504"/>
    </row>
    <row r="476" ht="53.25" customHeight="1">
      <c r="O476" s="504"/>
    </row>
    <row r="477" ht="53.25" customHeight="1">
      <c r="O477" s="504"/>
    </row>
    <row r="478" ht="53.25" customHeight="1">
      <c r="O478" s="504"/>
    </row>
    <row r="479" ht="53.25" customHeight="1">
      <c r="O479" s="504"/>
    </row>
    <row r="480" ht="53.25" customHeight="1">
      <c r="O480" s="504"/>
    </row>
    <row r="481" ht="53.25" customHeight="1">
      <c r="O481" s="504"/>
    </row>
    <row r="482" ht="53.25" customHeight="1">
      <c r="O482" s="504"/>
    </row>
    <row r="483" ht="53.25" customHeight="1">
      <c r="O483" s="504"/>
    </row>
    <row r="484" ht="53.25" customHeight="1">
      <c r="O484" s="504"/>
    </row>
    <row r="485" ht="53.25" customHeight="1">
      <c r="O485" s="504"/>
    </row>
    <row r="486" ht="53.25" customHeight="1">
      <c r="O486" s="504"/>
    </row>
    <row r="487" ht="53.25" customHeight="1">
      <c r="O487" s="504"/>
    </row>
    <row r="488" ht="53.25" customHeight="1">
      <c r="O488" s="504"/>
    </row>
    <row r="489" ht="53.25" customHeight="1">
      <c r="O489" s="504"/>
    </row>
    <row r="490" ht="53.25" customHeight="1">
      <c r="O490" s="504"/>
    </row>
    <row r="491" ht="53.25" customHeight="1">
      <c r="O491" s="504"/>
    </row>
    <row r="492" ht="53.25" customHeight="1">
      <c r="O492" s="504"/>
    </row>
    <row r="493" ht="53.25" customHeight="1">
      <c r="O493" s="504"/>
    </row>
    <row r="494" ht="53.25" customHeight="1">
      <c r="O494" s="504"/>
    </row>
    <row r="495" ht="53.25" customHeight="1">
      <c r="O495" s="504"/>
    </row>
    <row r="496" ht="53.25" customHeight="1">
      <c r="O496" s="504"/>
    </row>
    <row r="497" ht="53.25" customHeight="1">
      <c r="O497" s="504"/>
    </row>
    <row r="498" ht="53.25" customHeight="1">
      <c r="O498" s="504"/>
    </row>
    <row r="499" ht="53.25" customHeight="1">
      <c r="O499" s="504"/>
    </row>
    <row r="500" ht="53.25" customHeight="1">
      <c r="O500" s="504"/>
    </row>
    <row r="501" ht="53.25" customHeight="1">
      <c r="O501" s="504"/>
    </row>
    <row r="502" ht="53.25" customHeight="1">
      <c r="O502" s="504"/>
    </row>
    <row r="503" ht="53.25" customHeight="1">
      <c r="O503" s="504"/>
    </row>
    <row r="504" ht="53.25" customHeight="1">
      <c r="O504" s="504"/>
    </row>
    <row r="505" ht="53.25" customHeight="1">
      <c r="O505" s="504"/>
    </row>
    <row r="506" ht="53.25" customHeight="1">
      <c r="O506" s="504"/>
    </row>
    <row r="507" ht="53.25" customHeight="1">
      <c r="O507" s="504"/>
    </row>
    <row r="508" ht="53.25" customHeight="1">
      <c r="O508" s="504"/>
    </row>
    <row r="509" ht="53.25" customHeight="1">
      <c r="O509" s="504"/>
    </row>
    <row r="510" ht="53.25" customHeight="1">
      <c r="O510" s="504"/>
    </row>
    <row r="511" ht="53.25" customHeight="1">
      <c r="O511" s="504"/>
    </row>
    <row r="512" ht="53.25" customHeight="1">
      <c r="O512" s="504"/>
    </row>
    <row r="513" ht="53.25" customHeight="1">
      <c r="O513" s="504"/>
    </row>
    <row r="514" ht="53.25" customHeight="1">
      <c r="O514" s="504"/>
    </row>
    <row r="515" ht="53.25" customHeight="1">
      <c r="O515" s="504"/>
    </row>
    <row r="516" ht="53.25" customHeight="1">
      <c r="O516" s="504"/>
    </row>
    <row r="517" ht="53.25" customHeight="1">
      <c r="O517" s="504"/>
    </row>
    <row r="518" ht="53.25" customHeight="1">
      <c r="O518" s="504"/>
    </row>
    <row r="519" ht="53.25" customHeight="1">
      <c r="O519" s="504"/>
    </row>
    <row r="520" ht="53.25" customHeight="1">
      <c r="O520" s="504"/>
    </row>
    <row r="521" ht="53.25" customHeight="1">
      <c r="O521" s="504"/>
    </row>
    <row r="522" ht="53.25" customHeight="1">
      <c r="O522" s="504"/>
    </row>
    <row r="523" ht="53.25" customHeight="1">
      <c r="O523" s="504"/>
    </row>
    <row r="524" ht="53.25" customHeight="1">
      <c r="O524" s="504"/>
    </row>
    <row r="525" ht="53.25" customHeight="1">
      <c r="O525" s="504"/>
    </row>
    <row r="526" ht="53.25" customHeight="1">
      <c r="O526" s="504"/>
    </row>
    <row r="527" ht="53.25" customHeight="1">
      <c r="O527" s="504"/>
    </row>
    <row r="528" ht="53.25" customHeight="1">
      <c r="O528" s="504"/>
    </row>
    <row r="529" ht="53.25" customHeight="1">
      <c r="O529" s="504"/>
    </row>
    <row r="530" ht="53.25" customHeight="1">
      <c r="O530" s="504"/>
    </row>
    <row r="531" ht="53.25" customHeight="1">
      <c r="O531" s="504"/>
    </row>
    <row r="532" ht="53.25" customHeight="1">
      <c r="O532" s="504"/>
    </row>
    <row r="533" ht="53.25" customHeight="1">
      <c r="O533" s="504"/>
    </row>
    <row r="534" ht="53.25" customHeight="1">
      <c r="O534" s="504"/>
    </row>
    <row r="535" ht="53.25" customHeight="1">
      <c r="O535" s="504"/>
    </row>
    <row r="536" ht="53.25" customHeight="1">
      <c r="O536" s="504"/>
    </row>
    <row r="537" ht="53.25" customHeight="1">
      <c r="O537" s="504"/>
    </row>
    <row r="538" ht="53.25" customHeight="1">
      <c r="O538" s="504"/>
    </row>
    <row r="539" ht="53.25" customHeight="1">
      <c r="O539" s="504"/>
    </row>
    <row r="540" ht="53.25" customHeight="1">
      <c r="O540" s="504"/>
    </row>
    <row r="541" ht="53.25" customHeight="1">
      <c r="O541" s="504"/>
    </row>
    <row r="542" ht="53.25" customHeight="1">
      <c r="O542" s="504"/>
    </row>
    <row r="543" ht="53.25" customHeight="1">
      <c r="O543" s="504"/>
    </row>
    <row r="544" ht="53.25" customHeight="1">
      <c r="O544" s="504"/>
    </row>
    <row r="545" ht="53.25" customHeight="1">
      <c r="O545" s="504"/>
    </row>
    <row r="546" ht="53.25" customHeight="1">
      <c r="O546" s="504"/>
    </row>
    <row r="547" ht="53.25" customHeight="1">
      <c r="O547" s="504"/>
    </row>
    <row r="548" ht="53.25" customHeight="1">
      <c r="O548" s="504"/>
    </row>
    <row r="549" ht="53.25" customHeight="1">
      <c r="O549" s="504"/>
    </row>
    <row r="550" ht="53.25" customHeight="1">
      <c r="O550" s="504"/>
    </row>
    <row r="551" ht="53.25" customHeight="1">
      <c r="O551" s="504"/>
    </row>
    <row r="552" ht="53.25" customHeight="1">
      <c r="O552" s="504"/>
    </row>
    <row r="553" ht="53.25" customHeight="1">
      <c r="O553" s="504"/>
    </row>
    <row r="554" ht="53.25" customHeight="1">
      <c r="O554" s="504"/>
    </row>
    <row r="555" ht="53.25" customHeight="1">
      <c r="O555" s="504"/>
    </row>
    <row r="556" ht="53.25" customHeight="1">
      <c r="O556" s="504"/>
    </row>
    <row r="557" ht="53.25" customHeight="1">
      <c r="O557" s="504"/>
    </row>
    <row r="558" ht="53.25" customHeight="1">
      <c r="O558" s="504"/>
    </row>
    <row r="559" ht="53.25" customHeight="1">
      <c r="O559" s="504"/>
    </row>
    <row r="560" ht="53.25" customHeight="1">
      <c r="O560" s="504"/>
    </row>
    <row r="561" ht="53.25" customHeight="1">
      <c r="O561" s="504"/>
    </row>
    <row r="562" ht="53.25" customHeight="1">
      <c r="O562" s="504"/>
    </row>
    <row r="563" ht="53.25" customHeight="1">
      <c r="O563" s="504"/>
    </row>
    <row r="564" ht="53.25" customHeight="1">
      <c r="O564" s="504"/>
    </row>
    <row r="565" ht="53.25" customHeight="1">
      <c r="O565" s="504"/>
    </row>
    <row r="566" ht="53.25" customHeight="1">
      <c r="O566" s="504"/>
    </row>
    <row r="567" ht="53.25" customHeight="1">
      <c r="O567" s="504"/>
    </row>
    <row r="568" ht="53.25" customHeight="1">
      <c r="O568" s="504"/>
    </row>
    <row r="569" ht="53.25" customHeight="1">
      <c r="O569" s="504"/>
    </row>
    <row r="570" ht="53.25" customHeight="1">
      <c r="O570" s="504"/>
    </row>
    <row r="571" ht="53.25" customHeight="1">
      <c r="O571" s="504"/>
    </row>
    <row r="572" ht="53.25" customHeight="1">
      <c r="O572" s="504"/>
    </row>
    <row r="573" ht="53.25" customHeight="1">
      <c r="O573" s="504"/>
    </row>
    <row r="574" ht="53.25" customHeight="1">
      <c r="O574" s="504"/>
    </row>
    <row r="575" ht="53.25" customHeight="1">
      <c r="O575" s="504"/>
    </row>
    <row r="576" ht="53.25" customHeight="1">
      <c r="O576" s="504"/>
    </row>
    <row r="577" ht="53.25" customHeight="1">
      <c r="O577" s="504"/>
    </row>
    <row r="578" ht="53.25" customHeight="1">
      <c r="O578" s="504"/>
    </row>
    <row r="579" ht="53.25" customHeight="1">
      <c r="O579" s="504"/>
    </row>
    <row r="580" ht="53.25" customHeight="1">
      <c r="O580" s="504"/>
    </row>
    <row r="581" ht="53.25" customHeight="1">
      <c r="O581" s="504"/>
    </row>
    <row r="582" ht="53.25" customHeight="1">
      <c r="O582" s="504"/>
    </row>
    <row r="583" ht="53.25" customHeight="1">
      <c r="O583" s="504"/>
    </row>
    <row r="584" ht="53.25" customHeight="1">
      <c r="O584" s="504"/>
    </row>
    <row r="585" ht="53.25" customHeight="1">
      <c r="O585" s="504"/>
    </row>
    <row r="586" ht="53.25" customHeight="1">
      <c r="O586" s="504"/>
    </row>
    <row r="587" ht="53.25" customHeight="1">
      <c r="O587" s="504"/>
    </row>
    <row r="588" ht="53.25" customHeight="1">
      <c r="O588" s="504"/>
    </row>
    <row r="589" ht="53.25" customHeight="1">
      <c r="O589" s="504"/>
    </row>
    <row r="590" ht="53.25" customHeight="1">
      <c r="O590" s="504"/>
    </row>
    <row r="591" ht="53.25" customHeight="1">
      <c r="O591" s="504"/>
    </row>
    <row r="592" ht="53.25" customHeight="1">
      <c r="O592" s="504"/>
    </row>
    <row r="593" ht="53.25" customHeight="1">
      <c r="O593" s="504"/>
    </row>
    <row r="594" ht="53.25" customHeight="1">
      <c r="O594" s="504"/>
    </row>
    <row r="595" ht="53.25" customHeight="1">
      <c r="O595" s="504"/>
    </row>
    <row r="596" ht="53.25" customHeight="1">
      <c r="O596" s="504"/>
    </row>
    <row r="597" ht="53.25" customHeight="1">
      <c r="O597" s="504"/>
    </row>
    <row r="598" ht="53.25" customHeight="1">
      <c r="O598" s="504"/>
    </row>
    <row r="599" ht="53.25" customHeight="1">
      <c r="O599" s="504"/>
    </row>
    <row r="600" ht="53.25" customHeight="1">
      <c r="O600" s="504"/>
    </row>
    <row r="601" ht="53.25" customHeight="1">
      <c r="O601" s="504"/>
    </row>
    <row r="602" ht="53.25" customHeight="1">
      <c r="O602" s="504"/>
    </row>
    <row r="603" ht="53.25" customHeight="1">
      <c r="O603" s="504"/>
    </row>
    <row r="604" ht="53.25" customHeight="1">
      <c r="O604" s="504"/>
    </row>
    <row r="605" ht="53.25" customHeight="1">
      <c r="O605" s="504"/>
    </row>
    <row r="606" ht="53.25" customHeight="1">
      <c r="O606" s="504"/>
    </row>
    <row r="607" ht="53.25" customHeight="1">
      <c r="O607" s="504"/>
    </row>
    <row r="608" ht="53.25" customHeight="1">
      <c r="O608" s="504"/>
    </row>
    <row r="609" ht="53.25" customHeight="1">
      <c r="O609" s="504"/>
    </row>
    <row r="610" ht="53.25" customHeight="1">
      <c r="O610" s="504"/>
    </row>
    <row r="611" ht="53.25" customHeight="1">
      <c r="O611" s="504"/>
    </row>
    <row r="612" ht="53.25" customHeight="1">
      <c r="O612" s="504"/>
    </row>
    <row r="613" ht="53.25" customHeight="1">
      <c r="O613" s="504"/>
    </row>
    <row r="614" ht="53.25" customHeight="1">
      <c r="O614" s="504"/>
    </row>
    <row r="615" ht="53.25" customHeight="1">
      <c r="O615" s="504"/>
    </row>
    <row r="616" ht="53.25" customHeight="1">
      <c r="O616" s="504"/>
    </row>
    <row r="617" ht="53.25" customHeight="1">
      <c r="O617" s="504"/>
    </row>
    <row r="618" ht="53.25" customHeight="1">
      <c r="O618" s="504"/>
    </row>
    <row r="619" ht="53.25" customHeight="1">
      <c r="O619" s="504"/>
    </row>
    <row r="620" ht="53.25" customHeight="1">
      <c r="O620" s="504"/>
    </row>
    <row r="621" ht="53.25" customHeight="1">
      <c r="O621" s="504"/>
    </row>
    <row r="622" ht="53.25" customHeight="1">
      <c r="O622" s="504"/>
    </row>
    <row r="623" ht="53.25" customHeight="1">
      <c r="O623" s="504"/>
    </row>
    <row r="624" ht="53.25" customHeight="1">
      <c r="O624" s="504"/>
    </row>
    <row r="625" ht="53.25" customHeight="1">
      <c r="O625" s="504"/>
    </row>
    <row r="626" ht="53.25" customHeight="1">
      <c r="O626" s="504"/>
    </row>
    <row r="627" ht="53.25" customHeight="1">
      <c r="O627" s="504"/>
    </row>
    <row r="628" ht="53.25" customHeight="1">
      <c r="O628" s="504"/>
    </row>
    <row r="629" ht="53.25" customHeight="1">
      <c r="O629" s="504"/>
    </row>
    <row r="630" ht="53.25" customHeight="1">
      <c r="O630" s="504"/>
    </row>
    <row r="631" ht="53.25" customHeight="1">
      <c r="O631" s="504"/>
    </row>
    <row r="632" ht="53.25" customHeight="1">
      <c r="O632" s="504"/>
    </row>
    <row r="633" ht="53.25" customHeight="1">
      <c r="O633" s="504"/>
    </row>
    <row r="634" ht="53.25" customHeight="1">
      <c r="O634" s="504"/>
    </row>
    <row r="635" ht="53.25" customHeight="1">
      <c r="O635" s="504"/>
    </row>
    <row r="636" ht="53.25" customHeight="1">
      <c r="O636" s="504"/>
    </row>
    <row r="637" ht="53.25" customHeight="1">
      <c r="O637" s="504"/>
    </row>
    <row r="638" ht="53.25" customHeight="1">
      <c r="O638" s="504"/>
    </row>
    <row r="639" ht="53.25" customHeight="1">
      <c r="O639" s="504"/>
    </row>
    <row r="640" ht="53.25" customHeight="1">
      <c r="O640" s="504"/>
    </row>
    <row r="641" ht="53.25" customHeight="1">
      <c r="O641" s="504"/>
    </row>
    <row r="642" ht="53.25" customHeight="1">
      <c r="O642" s="504"/>
    </row>
    <row r="643" ht="53.25" customHeight="1">
      <c r="O643" s="504"/>
    </row>
    <row r="644" ht="53.25" customHeight="1">
      <c r="O644" s="504"/>
    </row>
    <row r="645" ht="53.25" customHeight="1">
      <c r="O645" s="504"/>
    </row>
    <row r="646" ht="53.25" customHeight="1">
      <c r="O646" s="504"/>
    </row>
    <row r="647" ht="53.25" customHeight="1">
      <c r="O647" s="504"/>
    </row>
    <row r="648" ht="53.25" customHeight="1">
      <c r="O648" s="504"/>
    </row>
    <row r="649" ht="53.25" customHeight="1">
      <c r="O649" s="504"/>
    </row>
    <row r="650" ht="53.25" customHeight="1">
      <c r="O650" s="504"/>
    </row>
    <row r="651" ht="53.25" customHeight="1">
      <c r="O651" s="504"/>
    </row>
    <row r="652" ht="53.25" customHeight="1">
      <c r="O652" s="504"/>
    </row>
    <row r="653" ht="53.25" customHeight="1">
      <c r="O653" s="504"/>
    </row>
    <row r="654" ht="53.25" customHeight="1">
      <c r="O654" s="504"/>
    </row>
    <row r="655" ht="53.25" customHeight="1">
      <c r="O655" s="504"/>
    </row>
    <row r="656" ht="53.25" customHeight="1">
      <c r="O656" s="504"/>
    </row>
    <row r="657" ht="53.25" customHeight="1">
      <c r="O657" s="504"/>
    </row>
    <row r="658" ht="53.25" customHeight="1">
      <c r="O658" s="504"/>
    </row>
    <row r="659" ht="53.25" customHeight="1">
      <c r="O659" s="504"/>
    </row>
    <row r="660" ht="53.25" customHeight="1">
      <c r="O660" s="504"/>
    </row>
    <row r="661" ht="53.25" customHeight="1">
      <c r="O661" s="504"/>
    </row>
    <row r="662" ht="53.25" customHeight="1">
      <c r="O662" s="504"/>
    </row>
    <row r="663" ht="53.25" customHeight="1">
      <c r="O663" s="504"/>
    </row>
    <row r="664" ht="53.25" customHeight="1">
      <c r="O664" s="504"/>
    </row>
    <row r="665" ht="53.25" customHeight="1">
      <c r="O665" s="504"/>
    </row>
    <row r="666" ht="53.25" customHeight="1">
      <c r="O666" s="504"/>
    </row>
    <row r="667" ht="53.25" customHeight="1">
      <c r="O667" s="504"/>
    </row>
    <row r="668" ht="53.25" customHeight="1">
      <c r="O668" s="504"/>
    </row>
    <row r="669" ht="53.25" customHeight="1">
      <c r="O669" s="504"/>
    </row>
    <row r="670" ht="53.25" customHeight="1">
      <c r="O670" s="504"/>
    </row>
    <row r="671" ht="53.25" customHeight="1">
      <c r="O671" s="504"/>
    </row>
    <row r="672" ht="53.25" customHeight="1">
      <c r="O672" s="504"/>
    </row>
    <row r="673" ht="53.25" customHeight="1">
      <c r="O673" s="504"/>
    </row>
    <row r="674" ht="53.25" customHeight="1">
      <c r="O674" s="504"/>
    </row>
    <row r="675" ht="53.25" customHeight="1">
      <c r="O675" s="504"/>
    </row>
    <row r="676" ht="53.25" customHeight="1">
      <c r="O676" s="504"/>
    </row>
    <row r="677" ht="53.25" customHeight="1">
      <c r="O677" s="504"/>
    </row>
    <row r="678" ht="53.25" customHeight="1">
      <c r="O678" s="504"/>
    </row>
    <row r="679" ht="53.25" customHeight="1">
      <c r="O679" s="504"/>
    </row>
    <row r="680" ht="53.25" customHeight="1">
      <c r="O680" s="504"/>
    </row>
    <row r="681" ht="53.25" customHeight="1">
      <c r="O681" s="504"/>
    </row>
    <row r="682" ht="53.25" customHeight="1">
      <c r="O682" s="504"/>
    </row>
    <row r="683" ht="53.25" customHeight="1">
      <c r="O683" s="504"/>
    </row>
    <row r="684" ht="53.25" customHeight="1">
      <c r="O684" s="504"/>
    </row>
    <row r="685" ht="53.25" customHeight="1">
      <c r="O685" s="504"/>
    </row>
    <row r="686" ht="53.25" customHeight="1">
      <c r="O686" s="504"/>
    </row>
    <row r="687" ht="53.25" customHeight="1">
      <c r="O687" s="504"/>
    </row>
    <row r="688" ht="53.25" customHeight="1">
      <c r="O688" s="504"/>
    </row>
    <row r="689" ht="53.25" customHeight="1">
      <c r="O689" s="504"/>
    </row>
    <row r="690" ht="53.25" customHeight="1">
      <c r="O690" s="504"/>
    </row>
    <row r="691" ht="53.25" customHeight="1">
      <c r="O691" s="504"/>
    </row>
    <row r="692" ht="53.25" customHeight="1">
      <c r="O692" s="504"/>
    </row>
    <row r="693" ht="53.25" customHeight="1">
      <c r="O693" s="504"/>
    </row>
    <row r="694" ht="53.25" customHeight="1">
      <c r="O694" s="504"/>
    </row>
    <row r="695" ht="53.25" customHeight="1">
      <c r="O695" s="504"/>
    </row>
    <row r="696" ht="53.25" customHeight="1">
      <c r="O696" s="504"/>
    </row>
    <row r="697" ht="53.25" customHeight="1">
      <c r="O697" s="504"/>
    </row>
    <row r="698" ht="53.25" customHeight="1">
      <c r="O698" s="504"/>
    </row>
    <row r="699" ht="53.25" customHeight="1">
      <c r="O699" s="504"/>
    </row>
    <row r="700" ht="53.25" customHeight="1">
      <c r="O700" s="504"/>
    </row>
    <row r="701" ht="53.25" customHeight="1">
      <c r="O701" s="504"/>
    </row>
    <row r="702" ht="53.25" customHeight="1">
      <c r="O702" s="504"/>
    </row>
    <row r="703" ht="53.25" customHeight="1">
      <c r="O703" s="504"/>
    </row>
    <row r="704" ht="53.25" customHeight="1">
      <c r="O704" s="504"/>
    </row>
    <row r="705" ht="53.25" customHeight="1">
      <c r="O705" s="504"/>
    </row>
    <row r="706" ht="53.25" customHeight="1">
      <c r="O706" s="504"/>
    </row>
    <row r="707" ht="53.25" customHeight="1">
      <c r="O707" s="504"/>
    </row>
    <row r="708" ht="53.25" customHeight="1">
      <c r="O708" s="504"/>
    </row>
    <row r="709" ht="53.25" customHeight="1">
      <c r="O709" s="504"/>
    </row>
    <row r="710" ht="53.25" customHeight="1">
      <c r="O710" s="504"/>
    </row>
    <row r="711" ht="53.25" customHeight="1">
      <c r="O711" s="504"/>
    </row>
    <row r="712" ht="53.25" customHeight="1">
      <c r="O712" s="504"/>
    </row>
    <row r="713" ht="53.25" customHeight="1">
      <c r="O713" s="504"/>
    </row>
    <row r="714" ht="53.25" customHeight="1">
      <c r="O714" s="504"/>
    </row>
    <row r="715" ht="53.25" customHeight="1">
      <c r="O715" s="504"/>
    </row>
    <row r="716" ht="53.25" customHeight="1">
      <c r="O716" s="504"/>
    </row>
    <row r="717" ht="53.25" customHeight="1">
      <c r="O717" s="504"/>
    </row>
    <row r="718" ht="53.25" customHeight="1">
      <c r="O718" s="504"/>
    </row>
    <row r="719" ht="53.25" customHeight="1">
      <c r="O719" s="504"/>
    </row>
    <row r="720" ht="53.25" customHeight="1">
      <c r="O720" s="504"/>
    </row>
    <row r="721" ht="53.25" customHeight="1">
      <c r="O721" s="504"/>
    </row>
    <row r="722" ht="53.25" customHeight="1">
      <c r="O722" s="504"/>
    </row>
    <row r="723" ht="53.25" customHeight="1">
      <c r="O723" s="504"/>
    </row>
    <row r="724" ht="53.25" customHeight="1">
      <c r="O724" s="504"/>
    </row>
    <row r="725" ht="53.25" customHeight="1">
      <c r="O725" s="504"/>
    </row>
    <row r="726" ht="53.25" customHeight="1">
      <c r="O726" s="504"/>
    </row>
    <row r="727" ht="53.25" customHeight="1">
      <c r="O727" s="504"/>
    </row>
    <row r="728" ht="53.25" customHeight="1">
      <c r="O728" s="504"/>
    </row>
    <row r="729" ht="53.25" customHeight="1">
      <c r="O729" s="504"/>
    </row>
    <row r="730" ht="53.25" customHeight="1">
      <c r="O730" s="504"/>
    </row>
    <row r="731" ht="53.25" customHeight="1">
      <c r="O731" s="504"/>
    </row>
    <row r="732" ht="53.25" customHeight="1">
      <c r="O732" s="504"/>
    </row>
    <row r="733" ht="53.25" customHeight="1">
      <c r="O733" s="504"/>
    </row>
    <row r="734" ht="53.25" customHeight="1">
      <c r="O734" s="504"/>
    </row>
    <row r="735" ht="53.25" customHeight="1">
      <c r="O735" s="504"/>
    </row>
    <row r="736" ht="53.25" customHeight="1">
      <c r="O736" s="504"/>
    </row>
    <row r="737" ht="53.25" customHeight="1">
      <c r="O737" s="504"/>
    </row>
    <row r="738" ht="53.25" customHeight="1">
      <c r="O738" s="504"/>
    </row>
    <row r="739" ht="53.25" customHeight="1">
      <c r="O739" s="504"/>
    </row>
    <row r="740" ht="53.25" customHeight="1">
      <c r="O740" s="504"/>
    </row>
    <row r="741" ht="53.25" customHeight="1">
      <c r="O741" s="504"/>
    </row>
    <row r="742" ht="53.25" customHeight="1">
      <c r="O742" s="504"/>
    </row>
    <row r="743" ht="53.25" customHeight="1">
      <c r="O743" s="504"/>
    </row>
    <row r="744" ht="53.25" customHeight="1">
      <c r="O744" s="504"/>
    </row>
    <row r="745" ht="53.25" customHeight="1">
      <c r="O745" s="504"/>
    </row>
    <row r="746" ht="53.25" customHeight="1">
      <c r="O746" s="504"/>
    </row>
    <row r="747" ht="53.25" customHeight="1">
      <c r="O747" s="504"/>
    </row>
    <row r="748" ht="53.25" customHeight="1">
      <c r="O748" s="504"/>
    </row>
    <row r="749" ht="53.25" customHeight="1">
      <c r="O749" s="504"/>
    </row>
    <row r="750" ht="53.25" customHeight="1">
      <c r="O750" s="504"/>
    </row>
    <row r="751" ht="53.25" customHeight="1">
      <c r="O751" s="504"/>
    </row>
    <row r="752" ht="53.25" customHeight="1">
      <c r="O752" s="504"/>
    </row>
    <row r="753" ht="53.25" customHeight="1">
      <c r="O753" s="504"/>
    </row>
    <row r="754" ht="53.25" customHeight="1">
      <c r="O754" s="504"/>
    </row>
    <row r="755" ht="53.25" customHeight="1">
      <c r="O755" s="504"/>
    </row>
    <row r="756" ht="53.25" customHeight="1">
      <c r="O756" s="504"/>
    </row>
    <row r="757" ht="53.25" customHeight="1">
      <c r="O757" s="504"/>
    </row>
    <row r="758" ht="53.25" customHeight="1">
      <c r="O758" s="504"/>
    </row>
    <row r="759" ht="53.25" customHeight="1">
      <c r="O759" s="504"/>
    </row>
    <row r="760" ht="53.25" customHeight="1">
      <c r="O760" s="504"/>
    </row>
    <row r="761" ht="53.25" customHeight="1">
      <c r="O761" s="504"/>
    </row>
    <row r="762" ht="53.25" customHeight="1">
      <c r="O762" s="504"/>
    </row>
    <row r="763" ht="53.25" customHeight="1">
      <c r="O763" s="504"/>
    </row>
    <row r="764" ht="53.25" customHeight="1">
      <c r="O764" s="504"/>
    </row>
    <row r="765" ht="53.25" customHeight="1">
      <c r="O765" s="504"/>
    </row>
    <row r="766" ht="53.25" customHeight="1">
      <c r="O766" s="504"/>
    </row>
    <row r="767" ht="53.25" customHeight="1">
      <c r="O767" s="504"/>
    </row>
    <row r="768" ht="53.25" customHeight="1">
      <c r="O768" s="504"/>
    </row>
    <row r="769" ht="53.25" customHeight="1">
      <c r="O769" s="504"/>
    </row>
    <row r="770" ht="53.25" customHeight="1">
      <c r="O770" s="504"/>
    </row>
    <row r="771" ht="53.25" customHeight="1">
      <c r="O771" s="504"/>
    </row>
    <row r="772" ht="53.25" customHeight="1">
      <c r="O772" s="504"/>
    </row>
    <row r="773" ht="53.25" customHeight="1">
      <c r="O773" s="504"/>
    </row>
    <row r="774" ht="53.25" customHeight="1">
      <c r="O774" s="504"/>
    </row>
    <row r="775" ht="53.25" customHeight="1">
      <c r="O775" s="504"/>
    </row>
    <row r="776" ht="53.25" customHeight="1">
      <c r="O776" s="504"/>
    </row>
    <row r="777" ht="53.25" customHeight="1">
      <c r="O777" s="504"/>
    </row>
    <row r="778" ht="53.25" customHeight="1">
      <c r="O778" s="504"/>
    </row>
    <row r="779" ht="53.25" customHeight="1">
      <c r="O779" s="504"/>
    </row>
    <row r="780" ht="53.25" customHeight="1">
      <c r="O780" s="504"/>
    </row>
    <row r="781" ht="53.25" customHeight="1">
      <c r="O781" s="504"/>
    </row>
    <row r="782" ht="53.25" customHeight="1">
      <c r="O782" s="504"/>
    </row>
    <row r="783" ht="53.25" customHeight="1">
      <c r="O783" s="504"/>
    </row>
    <row r="784" ht="53.25" customHeight="1">
      <c r="O784" s="504"/>
    </row>
    <row r="785" ht="53.25" customHeight="1">
      <c r="O785" s="504"/>
    </row>
    <row r="786" ht="53.25" customHeight="1">
      <c r="O786" s="504"/>
    </row>
    <row r="787" ht="53.25" customHeight="1">
      <c r="O787" s="504"/>
    </row>
    <row r="788" ht="53.25" customHeight="1">
      <c r="O788" s="504"/>
    </row>
    <row r="789" ht="53.25" customHeight="1">
      <c r="O789" s="504"/>
    </row>
    <row r="790" ht="53.25" customHeight="1">
      <c r="O790" s="504"/>
    </row>
    <row r="791" ht="53.25" customHeight="1">
      <c r="O791" s="504"/>
    </row>
    <row r="792" ht="53.25" customHeight="1">
      <c r="O792" s="504"/>
    </row>
    <row r="793" ht="53.25" customHeight="1">
      <c r="O793" s="504"/>
    </row>
    <row r="794" ht="53.25" customHeight="1">
      <c r="O794" s="504"/>
    </row>
    <row r="795" ht="53.25" customHeight="1">
      <c r="O795" s="504"/>
    </row>
    <row r="796" ht="53.25" customHeight="1">
      <c r="O796" s="504"/>
    </row>
    <row r="797" ht="53.25" customHeight="1">
      <c r="O797" s="504"/>
    </row>
    <row r="798" ht="53.25" customHeight="1">
      <c r="O798" s="504"/>
    </row>
    <row r="799" ht="53.25" customHeight="1">
      <c r="O799" s="504"/>
    </row>
    <row r="800" ht="53.25" customHeight="1">
      <c r="O800" s="504"/>
    </row>
    <row r="801" ht="53.25" customHeight="1">
      <c r="O801" s="504"/>
    </row>
    <row r="802" ht="53.25" customHeight="1">
      <c r="O802" s="504"/>
    </row>
    <row r="803" ht="53.25" customHeight="1">
      <c r="O803" s="504"/>
    </row>
    <row r="804" ht="53.25" customHeight="1">
      <c r="O804" s="504"/>
    </row>
    <row r="805" ht="53.25" customHeight="1">
      <c r="O805" s="504"/>
    </row>
    <row r="806" ht="53.25" customHeight="1">
      <c r="O806" s="504"/>
    </row>
    <row r="807" ht="53.25" customHeight="1">
      <c r="O807" s="504"/>
    </row>
    <row r="808" ht="53.25" customHeight="1">
      <c r="O808" s="504"/>
    </row>
    <row r="809" ht="53.25" customHeight="1">
      <c r="O809" s="504"/>
    </row>
    <row r="810" ht="53.25" customHeight="1">
      <c r="O810" s="504"/>
    </row>
    <row r="811" ht="53.25" customHeight="1">
      <c r="O811" s="504"/>
    </row>
    <row r="812" ht="53.25" customHeight="1">
      <c r="O812" s="504"/>
    </row>
    <row r="813" ht="53.25" customHeight="1">
      <c r="O813" s="504"/>
    </row>
    <row r="814" ht="53.25" customHeight="1">
      <c r="O814" s="504"/>
    </row>
    <row r="815" ht="53.25" customHeight="1">
      <c r="O815" s="504"/>
    </row>
    <row r="816" ht="53.25" customHeight="1">
      <c r="O816" s="504"/>
    </row>
    <row r="817" ht="53.25" customHeight="1">
      <c r="O817" s="504"/>
    </row>
    <row r="818" ht="53.25" customHeight="1">
      <c r="O818" s="504"/>
    </row>
    <row r="819" ht="53.25" customHeight="1">
      <c r="O819" s="504"/>
    </row>
    <row r="820" ht="53.25" customHeight="1">
      <c r="O820" s="504"/>
    </row>
    <row r="821" ht="53.25" customHeight="1">
      <c r="O821" s="504"/>
    </row>
    <row r="822" ht="53.25" customHeight="1">
      <c r="O822" s="504"/>
    </row>
    <row r="823" ht="53.25" customHeight="1">
      <c r="O823" s="504"/>
    </row>
    <row r="824" ht="53.25" customHeight="1">
      <c r="O824" s="504"/>
    </row>
    <row r="825" ht="53.25" customHeight="1">
      <c r="O825" s="504"/>
    </row>
    <row r="826" ht="53.25" customHeight="1">
      <c r="O826" s="504"/>
    </row>
    <row r="827" ht="53.25" customHeight="1">
      <c r="O827" s="504"/>
    </row>
    <row r="828" ht="53.25" customHeight="1">
      <c r="O828" s="504"/>
    </row>
    <row r="829" ht="53.25" customHeight="1">
      <c r="O829" s="504"/>
    </row>
    <row r="830" ht="53.25" customHeight="1">
      <c r="O830" s="504"/>
    </row>
    <row r="831" ht="53.25" customHeight="1">
      <c r="O831" s="504"/>
    </row>
    <row r="832" ht="53.25" customHeight="1">
      <c r="O832" s="504"/>
    </row>
    <row r="833" ht="53.25" customHeight="1">
      <c r="O833" s="504"/>
    </row>
    <row r="834" ht="53.25" customHeight="1">
      <c r="O834" s="504"/>
    </row>
    <row r="835" ht="53.25" customHeight="1">
      <c r="O835" s="504"/>
    </row>
    <row r="836" ht="53.25" customHeight="1">
      <c r="O836" s="504"/>
    </row>
    <row r="837" ht="53.25" customHeight="1">
      <c r="O837" s="504"/>
    </row>
    <row r="838" ht="53.25" customHeight="1">
      <c r="O838" s="504"/>
    </row>
    <row r="839" ht="53.25" customHeight="1">
      <c r="O839" s="504"/>
    </row>
    <row r="840" ht="53.25" customHeight="1">
      <c r="O840" s="504"/>
    </row>
    <row r="841" ht="53.25" customHeight="1">
      <c r="O841" s="504"/>
    </row>
    <row r="842" ht="53.25" customHeight="1">
      <c r="O842" s="504"/>
    </row>
    <row r="843" ht="53.25" customHeight="1">
      <c r="O843" s="504"/>
    </row>
    <row r="844" ht="53.25" customHeight="1">
      <c r="O844" s="504"/>
    </row>
    <row r="845" ht="53.25" customHeight="1">
      <c r="O845" s="504"/>
    </row>
    <row r="846" ht="53.25" customHeight="1">
      <c r="O846" s="504"/>
    </row>
    <row r="847" ht="53.25" customHeight="1">
      <c r="O847" s="504"/>
    </row>
    <row r="848" ht="53.25" customHeight="1">
      <c r="O848" s="504"/>
    </row>
    <row r="849" ht="53.25" customHeight="1">
      <c r="O849" s="504"/>
    </row>
    <row r="850" ht="53.25" customHeight="1">
      <c r="O850" s="504"/>
    </row>
    <row r="851" ht="53.25" customHeight="1">
      <c r="O851" s="504"/>
    </row>
    <row r="852" ht="53.25" customHeight="1">
      <c r="O852" s="504"/>
    </row>
    <row r="853" ht="53.25" customHeight="1">
      <c r="O853" s="504"/>
    </row>
    <row r="854" ht="53.25" customHeight="1">
      <c r="O854" s="504"/>
    </row>
    <row r="855" ht="53.25" customHeight="1">
      <c r="O855" s="504"/>
    </row>
    <row r="856" ht="53.25" customHeight="1">
      <c r="O856" s="504"/>
    </row>
    <row r="857" ht="53.25" customHeight="1">
      <c r="O857" s="504"/>
    </row>
    <row r="858" ht="53.25" customHeight="1">
      <c r="O858" s="504"/>
    </row>
    <row r="859" ht="53.25" customHeight="1">
      <c r="O859" s="504"/>
    </row>
    <row r="860" ht="53.25" customHeight="1">
      <c r="O860" s="504"/>
    </row>
    <row r="861" ht="53.25" customHeight="1">
      <c r="O861" s="504"/>
    </row>
    <row r="862" ht="53.25" customHeight="1">
      <c r="O862" s="504"/>
    </row>
    <row r="863" ht="53.25" customHeight="1">
      <c r="O863" s="504"/>
    </row>
    <row r="864" ht="53.25" customHeight="1">
      <c r="O864" s="504"/>
    </row>
    <row r="865" ht="53.25" customHeight="1">
      <c r="O865" s="504"/>
    </row>
    <row r="866" ht="53.25" customHeight="1">
      <c r="O866" s="504"/>
    </row>
    <row r="867" ht="53.25" customHeight="1">
      <c r="O867" s="504"/>
    </row>
    <row r="868" ht="53.25" customHeight="1">
      <c r="O868" s="504"/>
    </row>
    <row r="869" ht="53.25" customHeight="1">
      <c r="O869" s="504"/>
    </row>
    <row r="870" ht="53.25" customHeight="1">
      <c r="O870" s="504"/>
    </row>
    <row r="871" ht="53.25" customHeight="1">
      <c r="O871" s="504"/>
    </row>
    <row r="872" ht="53.25" customHeight="1">
      <c r="O872" s="504"/>
    </row>
    <row r="873" ht="53.25" customHeight="1">
      <c r="O873" s="504"/>
    </row>
    <row r="874" ht="53.25" customHeight="1">
      <c r="O874" s="504"/>
    </row>
    <row r="875" ht="53.25" customHeight="1">
      <c r="O875" s="504"/>
    </row>
    <row r="876" ht="53.25" customHeight="1">
      <c r="O876" s="504"/>
    </row>
    <row r="877" ht="53.25" customHeight="1">
      <c r="O877" s="504"/>
    </row>
    <row r="878" ht="53.25" customHeight="1">
      <c r="O878" s="504"/>
    </row>
    <row r="879" ht="53.25" customHeight="1">
      <c r="O879" s="504"/>
    </row>
    <row r="880" ht="53.25" customHeight="1">
      <c r="O880" s="504"/>
    </row>
    <row r="881" ht="53.25" customHeight="1">
      <c r="O881" s="504"/>
    </row>
    <row r="882" ht="53.25" customHeight="1">
      <c r="O882" s="504"/>
    </row>
    <row r="883" ht="53.25" customHeight="1">
      <c r="O883" s="504"/>
    </row>
    <row r="884" ht="53.25" customHeight="1">
      <c r="O884" s="504"/>
    </row>
    <row r="885" ht="53.25" customHeight="1">
      <c r="O885" s="504"/>
    </row>
    <row r="886" ht="53.25" customHeight="1">
      <c r="O886" s="504"/>
    </row>
    <row r="887" ht="53.25" customHeight="1">
      <c r="O887" s="504"/>
    </row>
    <row r="888" ht="53.25" customHeight="1">
      <c r="O888" s="504"/>
    </row>
    <row r="889" ht="53.25" customHeight="1">
      <c r="O889" s="504"/>
    </row>
    <row r="890" ht="53.25" customHeight="1">
      <c r="O890" s="504"/>
    </row>
    <row r="891" ht="53.25" customHeight="1">
      <c r="O891" s="504"/>
    </row>
    <row r="892" ht="53.25" customHeight="1">
      <c r="O892" s="504"/>
    </row>
    <row r="893" ht="53.25" customHeight="1">
      <c r="O893" s="504"/>
    </row>
    <row r="894" ht="53.25" customHeight="1">
      <c r="O894" s="504"/>
    </row>
    <row r="895" ht="53.25" customHeight="1">
      <c r="O895" s="504"/>
    </row>
    <row r="896" ht="53.25" customHeight="1">
      <c r="O896" s="504"/>
    </row>
    <row r="897" ht="53.25" customHeight="1">
      <c r="O897" s="504"/>
    </row>
    <row r="898" ht="53.25" customHeight="1">
      <c r="O898" s="504"/>
    </row>
    <row r="899" ht="53.25" customHeight="1">
      <c r="O899" s="504"/>
    </row>
    <row r="900" ht="53.25" customHeight="1">
      <c r="O900" s="504"/>
    </row>
    <row r="901" ht="53.25" customHeight="1">
      <c r="O901" s="504"/>
    </row>
    <row r="902" ht="53.25" customHeight="1">
      <c r="O902" s="504"/>
    </row>
    <row r="903" ht="53.25" customHeight="1">
      <c r="O903" s="504"/>
    </row>
    <row r="904" ht="53.25" customHeight="1">
      <c r="O904" s="504"/>
    </row>
    <row r="905" ht="53.25" customHeight="1">
      <c r="O905" s="504"/>
    </row>
    <row r="906" ht="53.25" customHeight="1">
      <c r="O906" s="504"/>
    </row>
    <row r="907" ht="53.25" customHeight="1">
      <c r="O907" s="504"/>
    </row>
    <row r="908" ht="53.25" customHeight="1">
      <c r="O908" s="504"/>
    </row>
    <row r="909" ht="53.25" customHeight="1">
      <c r="O909" s="504"/>
    </row>
    <row r="910" ht="53.25" customHeight="1">
      <c r="O910" s="504"/>
    </row>
    <row r="911" ht="53.25" customHeight="1">
      <c r="O911" s="504"/>
    </row>
    <row r="912" ht="53.25" customHeight="1">
      <c r="O912" s="504"/>
    </row>
    <row r="913" ht="53.25" customHeight="1">
      <c r="O913" s="504"/>
    </row>
    <row r="914" ht="53.25" customHeight="1">
      <c r="O914" s="504"/>
    </row>
    <row r="915" ht="53.25" customHeight="1">
      <c r="O915" s="504"/>
    </row>
    <row r="916" ht="53.25" customHeight="1">
      <c r="O916" s="504"/>
    </row>
    <row r="917" ht="53.25" customHeight="1">
      <c r="O917" s="504"/>
    </row>
    <row r="918" ht="53.25" customHeight="1">
      <c r="O918" s="504"/>
    </row>
    <row r="919" ht="53.25" customHeight="1">
      <c r="O919" s="504"/>
    </row>
    <row r="920" ht="53.25" customHeight="1">
      <c r="O920" s="504"/>
    </row>
    <row r="921" ht="53.25" customHeight="1">
      <c r="O921" s="504"/>
    </row>
    <row r="922" ht="53.25" customHeight="1">
      <c r="O922" s="504"/>
    </row>
    <row r="923" ht="53.25" customHeight="1">
      <c r="O923" s="504"/>
    </row>
    <row r="924" ht="53.25" customHeight="1">
      <c r="O924" s="504"/>
    </row>
    <row r="925" ht="53.25" customHeight="1">
      <c r="O925" s="504"/>
    </row>
    <row r="926" ht="53.25" customHeight="1">
      <c r="O926" s="504"/>
    </row>
    <row r="927" ht="53.25" customHeight="1">
      <c r="O927" s="504"/>
    </row>
    <row r="928" ht="53.25" customHeight="1">
      <c r="O928" s="504"/>
    </row>
    <row r="929" ht="53.25" customHeight="1">
      <c r="O929" s="504"/>
    </row>
    <row r="930" ht="53.25" customHeight="1">
      <c r="O930" s="504"/>
    </row>
    <row r="931" ht="53.25" customHeight="1">
      <c r="O931" s="504"/>
    </row>
    <row r="932" ht="53.25" customHeight="1">
      <c r="O932" s="504"/>
    </row>
    <row r="933" ht="53.25" customHeight="1">
      <c r="O933" s="504"/>
    </row>
    <row r="934" ht="53.25" customHeight="1">
      <c r="O934" s="504"/>
    </row>
    <row r="935" ht="53.25" customHeight="1">
      <c r="O935" s="504"/>
    </row>
    <row r="936" ht="53.25" customHeight="1">
      <c r="O936" s="504"/>
    </row>
    <row r="937" ht="53.25" customHeight="1">
      <c r="O937" s="504"/>
    </row>
    <row r="938" ht="53.25" customHeight="1">
      <c r="O938" s="504"/>
    </row>
    <row r="939" ht="53.25" customHeight="1">
      <c r="O939" s="504"/>
    </row>
    <row r="940" ht="53.25" customHeight="1">
      <c r="O940" s="504"/>
    </row>
    <row r="941" ht="53.25" customHeight="1">
      <c r="O941" s="504"/>
    </row>
    <row r="942" ht="53.25" customHeight="1">
      <c r="O942" s="504"/>
    </row>
    <row r="943" ht="53.25" customHeight="1">
      <c r="O943" s="504"/>
    </row>
    <row r="944" ht="53.25" customHeight="1">
      <c r="O944" s="504"/>
    </row>
    <row r="945" ht="53.25" customHeight="1">
      <c r="O945" s="504"/>
    </row>
    <row r="946" ht="53.25" customHeight="1">
      <c r="O946" s="504"/>
    </row>
    <row r="947" ht="53.25" customHeight="1">
      <c r="O947" s="504"/>
    </row>
    <row r="948" ht="53.25" customHeight="1">
      <c r="O948" s="504"/>
    </row>
    <row r="949" ht="53.25" customHeight="1">
      <c r="O949" s="504"/>
    </row>
    <row r="950" ht="53.25" customHeight="1">
      <c r="O950" s="504"/>
    </row>
    <row r="951" ht="53.25" customHeight="1">
      <c r="O951" s="504"/>
    </row>
    <row r="952" ht="53.25" customHeight="1">
      <c r="O952" s="504"/>
    </row>
    <row r="953" ht="53.25" customHeight="1">
      <c r="O953" s="504"/>
    </row>
    <row r="954" ht="53.25" customHeight="1">
      <c r="O954" s="504"/>
    </row>
    <row r="955" ht="53.25" customHeight="1">
      <c r="O955" s="504"/>
    </row>
    <row r="956" ht="53.25" customHeight="1">
      <c r="O956" s="504"/>
    </row>
    <row r="957" ht="53.25" customHeight="1">
      <c r="O957" s="504"/>
    </row>
    <row r="958" ht="53.25" customHeight="1">
      <c r="O958" s="504"/>
    </row>
    <row r="959" ht="53.25" customHeight="1">
      <c r="O959" s="504"/>
    </row>
    <row r="960" ht="53.25" customHeight="1">
      <c r="O960" s="504"/>
    </row>
    <row r="961" ht="53.25" customHeight="1">
      <c r="O961" s="504"/>
    </row>
    <row r="962" ht="53.25" customHeight="1">
      <c r="O962" s="504"/>
    </row>
    <row r="963" ht="53.25" customHeight="1">
      <c r="O963" s="504"/>
    </row>
    <row r="964" ht="53.25" customHeight="1">
      <c r="O964" s="504"/>
    </row>
    <row r="965" ht="53.25" customHeight="1">
      <c r="O965" s="504"/>
    </row>
    <row r="966" ht="53.25" customHeight="1">
      <c r="O966" s="504"/>
    </row>
    <row r="967" ht="53.25" customHeight="1">
      <c r="O967" s="504"/>
    </row>
    <row r="968" ht="53.25" customHeight="1">
      <c r="O968" s="504"/>
    </row>
    <row r="969" ht="53.25" customHeight="1">
      <c r="O969" s="504"/>
    </row>
    <row r="970" ht="53.25" customHeight="1">
      <c r="O970" s="504"/>
    </row>
    <row r="971" ht="53.25" customHeight="1">
      <c r="O971" s="504"/>
    </row>
    <row r="972" ht="53.25" customHeight="1">
      <c r="O972" s="504"/>
    </row>
    <row r="973" ht="53.25" customHeight="1">
      <c r="O973" s="504"/>
    </row>
    <row r="974" ht="53.25" customHeight="1">
      <c r="O974" s="504"/>
    </row>
    <row r="975" ht="53.25" customHeight="1">
      <c r="O975" s="504"/>
    </row>
    <row r="976" ht="53.25" customHeight="1">
      <c r="O976" s="504"/>
    </row>
    <row r="977" ht="53.25" customHeight="1">
      <c r="O977" s="504"/>
    </row>
    <row r="978" ht="53.25" customHeight="1">
      <c r="O978" s="504"/>
    </row>
    <row r="979" ht="53.25" customHeight="1">
      <c r="O979" s="504"/>
    </row>
    <row r="980" ht="53.25" customHeight="1">
      <c r="O980" s="504"/>
    </row>
    <row r="981" ht="53.25" customHeight="1">
      <c r="O981" s="504"/>
    </row>
    <row r="982" ht="53.25" customHeight="1">
      <c r="O982" s="504"/>
    </row>
    <row r="983" ht="53.25" customHeight="1">
      <c r="O983" s="504"/>
    </row>
    <row r="984" ht="53.25" customHeight="1">
      <c r="O984" s="504"/>
    </row>
    <row r="985" ht="53.25" customHeight="1">
      <c r="O985" s="504"/>
    </row>
    <row r="986" ht="53.25" customHeight="1">
      <c r="O986" s="504"/>
    </row>
    <row r="987" ht="53.25" customHeight="1">
      <c r="O987" s="504"/>
    </row>
    <row r="988" ht="53.25" customHeight="1">
      <c r="O988" s="504"/>
    </row>
    <row r="989" ht="53.25" customHeight="1">
      <c r="O989" s="504"/>
    </row>
    <row r="990" ht="53.25" customHeight="1">
      <c r="O990" s="504"/>
    </row>
    <row r="991" ht="53.25" customHeight="1">
      <c r="O991" s="504"/>
    </row>
    <row r="992" ht="53.25" customHeight="1">
      <c r="O992" s="504"/>
    </row>
    <row r="993" ht="53.25" customHeight="1">
      <c r="O993" s="504"/>
    </row>
    <row r="994" ht="53.25" customHeight="1">
      <c r="O994" s="504"/>
    </row>
    <row r="995" ht="53.25" customHeight="1">
      <c r="O995" s="504"/>
    </row>
    <row r="996" ht="53.25" customHeight="1">
      <c r="O996" s="504"/>
    </row>
    <row r="997" ht="53.25" customHeight="1">
      <c r="O997" s="504"/>
    </row>
    <row r="998" ht="53.25" customHeight="1">
      <c r="O998" s="504"/>
    </row>
    <row r="999" ht="53.25" customHeight="1">
      <c r="O999" s="504"/>
    </row>
    <row r="1000" ht="53.25" customHeight="1">
      <c r="O1000" s="504"/>
    </row>
    <row r="1001" ht="53.25" customHeight="1">
      <c r="O1001" s="504"/>
    </row>
    <row r="1002" ht="53.25" customHeight="1">
      <c r="O1002" s="504"/>
    </row>
    <row r="1003" ht="53.25" customHeight="1">
      <c r="O1003" s="504"/>
    </row>
    <row r="1004" ht="53.25" customHeight="1">
      <c r="O1004" s="504"/>
    </row>
    <row r="1005" ht="53.25" customHeight="1">
      <c r="O1005" s="504"/>
    </row>
    <row r="1006" ht="53.25" customHeight="1">
      <c r="O1006" s="504"/>
    </row>
    <row r="1007" ht="53.25" customHeight="1">
      <c r="O1007" s="504"/>
    </row>
    <row r="1008" ht="53.25" customHeight="1">
      <c r="O1008" s="504"/>
    </row>
    <row r="1009" ht="53.25" customHeight="1">
      <c r="O1009" s="504"/>
    </row>
    <row r="1010" ht="53.25" customHeight="1">
      <c r="O1010" s="504"/>
    </row>
    <row r="1011" ht="53.25" customHeight="1">
      <c r="O1011" s="504"/>
    </row>
    <row r="1012" ht="53.25" customHeight="1">
      <c r="O1012" s="504"/>
    </row>
    <row r="1013" ht="53.25" customHeight="1">
      <c r="O1013" s="504"/>
    </row>
    <row r="1014" ht="53.25" customHeight="1">
      <c r="O1014" s="504"/>
    </row>
    <row r="1015" ht="53.25" customHeight="1">
      <c r="O1015" s="504"/>
    </row>
    <row r="1016" ht="53.25" customHeight="1">
      <c r="O1016" s="504"/>
    </row>
    <row r="1017" ht="53.25" customHeight="1">
      <c r="O1017" s="504"/>
    </row>
    <row r="1018" ht="53.25" customHeight="1">
      <c r="O1018" s="504"/>
    </row>
    <row r="1019" ht="53.25" customHeight="1">
      <c r="O1019" s="504"/>
    </row>
    <row r="1020" ht="53.25" customHeight="1">
      <c r="O1020" s="504"/>
    </row>
    <row r="1021" ht="53.25" customHeight="1">
      <c r="O1021" s="504"/>
    </row>
    <row r="1022" ht="53.25" customHeight="1">
      <c r="O1022" s="504"/>
    </row>
    <row r="1023" ht="53.25" customHeight="1">
      <c r="O1023" s="504"/>
    </row>
    <row r="1024" ht="53.25" customHeight="1">
      <c r="O1024" s="504"/>
    </row>
    <row r="1025" ht="53.25" customHeight="1">
      <c r="O1025" s="504"/>
    </row>
    <row r="1026" ht="53.25" customHeight="1">
      <c r="O1026" s="504"/>
    </row>
    <row r="1027" ht="53.25" customHeight="1">
      <c r="O1027" s="504"/>
    </row>
    <row r="1028" ht="53.25" customHeight="1">
      <c r="O1028" s="504"/>
    </row>
    <row r="1029" ht="53.25" customHeight="1">
      <c r="O1029" s="504"/>
    </row>
    <row r="1030" ht="53.25" customHeight="1">
      <c r="O1030" s="504"/>
    </row>
    <row r="1031" ht="53.25" customHeight="1">
      <c r="O1031" s="504"/>
    </row>
    <row r="1032" ht="53.25" customHeight="1">
      <c r="O1032" s="504"/>
    </row>
    <row r="1033" ht="53.25" customHeight="1">
      <c r="O1033" s="504"/>
    </row>
    <row r="1034" ht="53.25" customHeight="1">
      <c r="O1034" s="504"/>
    </row>
    <row r="1035" ht="53.25" customHeight="1">
      <c r="O1035" s="504"/>
    </row>
    <row r="1036" ht="53.25" customHeight="1">
      <c r="O1036" s="504"/>
    </row>
    <row r="1037" ht="53.25" customHeight="1">
      <c r="O1037" s="504"/>
    </row>
    <row r="1038" ht="53.25" customHeight="1">
      <c r="O1038" s="504"/>
    </row>
    <row r="1039" ht="53.25" customHeight="1">
      <c r="O1039" s="504"/>
    </row>
    <row r="1040" ht="53.25" customHeight="1">
      <c r="O1040" s="504"/>
    </row>
    <row r="1041" ht="53.25" customHeight="1">
      <c r="O1041" s="504"/>
    </row>
    <row r="1042" ht="53.25" customHeight="1">
      <c r="O1042" s="504"/>
    </row>
    <row r="1043" ht="53.25" customHeight="1">
      <c r="O1043" s="504"/>
    </row>
    <row r="1044" ht="53.25" customHeight="1">
      <c r="O1044" s="504"/>
    </row>
    <row r="1045" ht="53.25" customHeight="1">
      <c r="O1045" s="504"/>
    </row>
    <row r="1046" ht="53.25" customHeight="1">
      <c r="O1046" s="504"/>
    </row>
    <row r="1047" ht="53.25" customHeight="1">
      <c r="O1047" s="504"/>
    </row>
    <row r="1048" ht="53.25" customHeight="1">
      <c r="O1048" s="504"/>
    </row>
    <row r="1049" ht="53.25" customHeight="1">
      <c r="O1049" s="504"/>
    </row>
    <row r="1050" ht="53.25" customHeight="1">
      <c r="O1050" s="504"/>
    </row>
    <row r="1051" ht="53.25" customHeight="1">
      <c r="O1051" s="504"/>
    </row>
    <row r="1052" ht="53.25" customHeight="1">
      <c r="O1052" s="504"/>
    </row>
    <row r="1053" ht="53.25" customHeight="1">
      <c r="O1053" s="504"/>
    </row>
    <row r="1054" ht="53.25" customHeight="1">
      <c r="O1054" s="504"/>
    </row>
    <row r="1055" ht="53.25" customHeight="1">
      <c r="O1055" s="504"/>
    </row>
    <row r="1056" ht="53.25" customHeight="1">
      <c r="O1056" s="504"/>
    </row>
    <row r="1057" ht="53.25" customHeight="1">
      <c r="O1057" s="504"/>
    </row>
    <row r="1058" ht="53.25" customHeight="1">
      <c r="O1058" s="504"/>
    </row>
    <row r="1059" ht="53.25" customHeight="1">
      <c r="O1059" s="504"/>
    </row>
    <row r="1060" ht="53.25" customHeight="1">
      <c r="O1060" s="504"/>
    </row>
    <row r="1061" ht="53.25" customHeight="1">
      <c r="O1061" s="504"/>
    </row>
    <row r="1062" ht="53.25" customHeight="1">
      <c r="O1062" s="504"/>
    </row>
    <row r="1063" ht="53.25" customHeight="1">
      <c r="O1063" s="504"/>
    </row>
    <row r="1064" ht="53.25" customHeight="1">
      <c r="O1064" s="504"/>
    </row>
    <row r="1065" ht="53.25" customHeight="1">
      <c r="O1065" s="504"/>
    </row>
    <row r="1066" ht="53.25" customHeight="1">
      <c r="O1066" s="504"/>
    </row>
    <row r="1067" ht="53.25" customHeight="1">
      <c r="O1067" s="504"/>
    </row>
    <row r="1068" ht="53.25" customHeight="1">
      <c r="O1068" s="504"/>
    </row>
    <row r="1069" ht="53.25" customHeight="1">
      <c r="O1069" s="504"/>
    </row>
    <row r="1070" ht="53.25" customHeight="1">
      <c r="O1070" s="504"/>
    </row>
    <row r="1071" ht="53.25" customHeight="1">
      <c r="O1071" s="504"/>
    </row>
    <row r="1072" ht="53.25" customHeight="1">
      <c r="O1072" s="504"/>
    </row>
    <row r="1073" ht="53.25" customHeight="1">
      <c r="O1073" s="504"/>
    </row>
    <row r="1074" ht="53.25" customHeight="1">
      <c r="O1074" s="504"/>
    </row>
    <row r="1075" ht="53.25" customHeight="1">
      <c r="O1075" s="504"/>
    </row>
    <row r="1076" ht="53.25" customHeight="1">
      <c r="O1076" s="504"/>
    </row>
    <row r="1077" ht="53.25" customHeight="1">
      <c r="O1077" s="504"/>
    </row>
    <row r="1078" ht="53.25" customHeight="1">
      <c r="O1078" s="504"/>
    </row>
    <row r="1079" ht="53.25" customHeight="1">
      <c r="O1079" s="504"/>
    </row>
    <row r="1080" ht="53.25" customHeight="1">
      <c r="O1080" s="504"/>
    </row>
    <row r="1081" ht="53.25" customHeight="1">
      <c r="O1081" s="504"/>
    </row>
    <row r="1082" ht="53.25" customHeight="1">
      <c r="O1082" s="504"/>
    </row>
    <row r="1083" ht="53.25" customHeight="1">
      <c r="O1083" s="504"/>
    </row>
    <row r="1084" ht="53.25" customHeight="1">
      <c r="O1084" s="504"/>
    </row>
    <row r="1085" ht="53.25" customHeight="1">
      <c r="O1085" s="504"/>
    </row>
    <row r="1086" ht="53.25" customHeight="1">
      <c r="O1086" s="504"/>
    </row>
    <row r="1087" ht="53.25" customHeight="1">
      <c r="O1087" s="504"/>
    </row>
    <row r="1088" ht="53.25" customHeight="1">
      <c r="O1088" s="504"/>
    </row>
    <row r="1089" ht="53.25" customHeight="1">
      <c r="O1089" s="504"/>
    </row>
    <row r="1090" ht="53.25" customHeight="1">
      <c r="O1090" s="504"/>
    </row>
    <row r="1091" ht="53.25" customHeight="1">
      <c r="O1091" s="504"/>
    </row>
    <row r="1092" ht="53.25" customHeight="1">
      <c r="O1092" s="504"/>
    </row>
    <row r="1093" ht="53.25" customHeight="1">
      <c r="O1093" s="504"/>
    </row>
    <row r="1094" ht="53.25" customHeight="1">
      <c r="O1094" s="504"/>
    </row>
    <row r="1095" ht="53.25" customHeight="1">
      <c r="O1095" s="504"/>
    </row>
    <row r="1096" ht="53.25" customHeight="1">
      <c r="O1096" s="504"/>
    </row>
    <row r="1097" ht="53.25" customHeight="1">
      <c r="O1097" s="504"/>
    </row>
    <row r="1098" ht="53.25" customHeight="1">
      <c r="O1098" s="504"/>
    </row>
    <row r="1099" ht="53.25" customHeight="1">
      <c r="O1099" s="504"/>
    </row>
    <row r="1100" ht="53.25" customHeight="1">
      <c r="O1100" s="504"/>
    </row>
    <row r="1101" ht="53.25" customHeight="1">
      <c r="O1101" s="504"/>
    </row>
    <row r="1102" ht="53.25" customHeight="1">
      <c r="O1102" s="504"/>
    </row>
    <row r="1103" ht="53.25" customHeight="1">
      <c r="O1103" s="504"/>
    </row>
    <row r="1104" ht="53.25" customHeight="1">
      <c r="O1104" s="504"/>
    </row>
    <row r="1105" ht="53.25" customHeight="1">
      <c r="O1105" s="504"/>
    </row>
    <row r="1106" ht="53.25" customHeight="1">
      <c r="O1106" s="504"/>
    </row>
    <row r="1107" ht="53.25" customHeight="1">
      <c r="O1107" s="504"/>
    </row>
    <row r="1108" ht="53.25" customHeight="1">
      <c r="O1108" s="504"/>
    </row>
    <row r="1109" ht="53.25" customHeight="1">
      <c r="O1109" s="504"/>
    </row>
    <row r="1110" ht="53.25" customHeight="1">
      <c r="O1110" s="504"/>
    </row>
    <row r="1111" ht="53.25" customHeight="1">
      <c r="O1111" s="504"/>
    </row>
    <row r="1112" ht="53.25" customHeight="1">
      <c r="O1112" s="504"/>
    </row>
    <row r="1113" ht="53.25" customHeight="1">
      <c r="O1113" s="504"/>
    </row>
    <row r="1114" ht="53.25" customHeight="1">
      <c r="O1114" s="504"/>
    </row>
    <row r="1115" ht="53.25" customHeight="1">
      <c r="O1115" s="504"/>
    </row>
    <row r="1116" ht="53.25" customHeight="1">
      <c r="O1116" s="504"/>
    </row>
    <row r="1117" ht="53.25" customHeight="1">
      <c r="O1117" s="504"/>
    </row>
    <row r="1118" ht="53.25" customHeight="1">
      <c r="O1118" s="504"/>
    </row>
    <row r="1119" ht="53.25" customHeight="1">
      <c r="O1119" s="504"/>
    </row>
    <row r="1120" ht="53.25" customHeight="1">
      <c r="O1120" s="504"/>
    </row>
    <row r="1121" ht="53.25" customHeight="1">
      <c r="O1121" s="504"/>
    </row>
    <row r="1122" ht="53.25" customHeight="1">
      <c r="O1122" s="504"/>
    </row>
    <row r="1123" ht="53.25" customHeight="1">
      <c r="O1123" s="504"/>
    </row>
    <row r="1124" ht="53.25" customHeight="1">
      <c r="O1124" s="504"/>
    </row>
    <row r="1125" ht="53.25" customHeight="1">
      <c r="O1125" s="504"/>
    </row>
    <row r="1126" ht="53.25" customHeight="1">
      <c r="O1126" s="504"/>
    </row>
    <row r="1127" ht="53.25" customHeight="1">
      <c r="O1127" s="504"/>
    </row>
    <row r="1128" ht="53.25" customHeight="1">
      <c r="O1128" s="504"/>
    </row>
    <row r="1129" ht="53.25" customHeight="1">
      <c r="O1129" s="504"/>
    </row>
    <row r="1130" ht="53.25" customHeight="1">
      <c r="O1130" s="504"/>
    </row>
    <row r="1131" ht="53.25" customHeight="1">
      <c r="O1131" s="504"/>
    </row>
    <row r="1132" ht="53.25" customHeight="1">
      <c r="O1132" s="504"/>
    </row>
    <row r="1133" ht="53.25" customHeight="1">
      <c r="O1133" s="504"/>
    </row>
    <row r="1134" ht="53.25" customHeight="1">
      <c r="O1134" s="504"/>
    </row>
    <row r="1135" ht="53.25" customHeight="1">
      <c r="O1135" s="504"/>
    </row>
    <row r="1136" ht="53.25" customHeight="1">
      <c r="O1136" s="504"/>
    </row>
    <row r="1137" ht="53.25" customHeight="1">
      <c r="O1137" s="504"/>
    </row>
    <row r="1138" ht="53.25" customHeight="1">
      <c r="O1138" s="504"/>
    </row>
    <row r="1139" ht="53.25" customHeight="1">
      <c r="O1139" s="504"/>
    </row>
    <row r="1140" ht="53.25" customHeight="1">
      <c r="O1140" s="504"/>
    </row>
    <row r="1141" ht="53.25" customHeight="1">
      <c r="O1141" s="504"/>
    </row>
    <row r="1142" ht="53.25" customHeight="1">
      <c r="O1142" s="504"/>
    </row>
    <row r="1143" ht="53.25" customHeight="1">
      <c r="O1143" s="504"/>
    </row>
    <row r="1144" ht="53.25" customHeight="1">
      <c r="O1144" s="504"/>
    </row>
    <row r="1145" ht="53.25" customHeight="1">
      <c r="O1145" s="504"/>
    </row>
    <row r="1146" ht="53.25" customHeight="1">
      <c r="O1146" s="504"/>
    </row>
    <row r="1147" ht="53.25" customHeight="1">
      <c r="O1147" s="504"/>
    </row>
    <row r="1148" ht="53.25" customHeight="1">
      <c r="O1148" s="504"/>
    </row>
    <row r="1149" ht="53.25" customHeight="1">
      <c r="O1149" s="504"/>
    </row>
    <row r="1150" ht="53.25" customHeight="1">
      <c r="O1150" s="504"/>
    </row>
    <row r="1151" ht="53.25" customHeight="1">
      <c r="O1151" s="504"/>
    </row>
    <row r="1152" ht="53.25" customHeight="1">
      <c r="O1152" s="504"/>
    </row>
    <row r="1153" ht="53.25" customHeight="1">
      <c r="O1153" s="504"/>
    </row>
    <row r="1154" ht="53.25" customHeight="1">
      <c r="O1154" s="504"/>
    </row>
    <row r="1155" ht="53.25" customHeight="1">
      <c r="O1155" s="504"/>
    </row>
    <row r="1156" ht="53.25" customHeight="1">
      <c r="O1156" s="504"/>
    </row>
    <row r="1157" ht="53.25" customHeight="1">
      <c r="O1157" s="504"/>
    </row>
    <row r="1158" ht="53.25" customHeight="1">
      <c r="O1158" s="504"/>
    </row>
    <row r="1159" ht="53.25" customHeight="1">
      <c r="O1159" s="504"/>
    </row>
    <row r="1160" ht="53.25" customHeight="1">
      <c r="O1160" s="504"/>
    </row>
    <row r="1161" ht="53.25" customHeight="1">
      <c r="O1161" s="504"/>
    </row>
    <row r="1162" ht="53.25" customHeight="1">
      <c r="O1162" s="504"/>
    </row>
    <row r="1163" ht="53.25" customHeight="1">
      <c r="O1163" s="504"/>
    </row>
    <row r="1164" ht="53.25" customHeight="1">
      <c r="O1164" s="504"/>
    </row>
    <row r="1165" ht="53.25" customHeight="1">
      <c r="O1165" s="504"/>
    </row>
    <row r="1166" ht="53.25" customHeight="1">
      <c r="O1166" s="504"/>
    </row>
    <row r="1167" ht="53.25" customHeight="1">
      <c r="O1167" s="504"/>
    </row>
    <row r="1168" ht="53.25" customHeight="1">
      <c r="O1168" s="504"/>
    </row>
    <row r="1169" ht="53.25" customHeight="1">
      <c r="O1169" s="504"/>
    </row>
    <row r="1170" ht="53.25" customHeight="1">
      <c r="O1170" s="504"/>
    </row>
    <row r="1171" ht="53.25" customHeight="1">
      <c r="O1171" s="504"/>
    </row>
    <row r="1172" ht="53.25" customHeight="1">
      <c r="O1172" s="504"/>
    </row>
    <row r="1173" ht="53.25" customHeight="1">
      <c r="O1173" s="504"/>
    </row>
    <row r="1174" ht="53.25" customHeight="1">
      <c r="O1174" s="504"/>
    </row>
    <row r="1175" ht="53.25" customHeight="1">
      <c r="O1175" s="504"/>
    </row>
    <row r="1176" ht="53.25" customHeight="1">
      <c r="O1176" s="504"/>
    </row>
    <row r="1177" ht="53.25" customHeight="1">
      <c r="O1177" s="504"/>
    </row>
    <row r="1178" ht="53.25" customHeight="1">
      <c r="O1178" s="504"/>
    </row>
    <row r="1179" ht="53.25" customHeight="1">
      <c r="O1179" s="504"/>
    </row>
    <row r="1180" ht="53.25" customHeight="1">
      <c r="O1180" s="504"/>
    </row>
    <row r="1181" ht="53.25" customHeight="1">
      <c r="O1181" s="504"/>
    </row>
    <row r="1182" ht="53.25" customHeight="1">
      <c r="O1182" s="504"/>
    </row>
    <row r="1183" ht="53.25" customHeight="1">
      <c r="O1183" s="504"/>
    </row>
    <row r="1184" ht="53.25" customHeight="1">
      <c r="O1184" s="504"/>
    </row>
    <row r="1185" ht="53.25" customHeight="1">
      <c r="O1185" s="504"/>
    </row>
    <row r="1186" ht="53.25" customHeight="1">
      <c r="O1186" s="504"/>
    </row>
    <row r="1187" ht="53.25" customHeight="1">
      <c r="O1187" s="504"/>
    </row>
    <row r="1188" ht="53.25" customHeight="1">
      <c r="O1188" s="504"/>
    </row>
    <row r="1189" ht="53.25" customHeight="1">
      <c r="O1189" s="504"/>
    </row>
    <row r="1190" ht="53.25" customHeight="1">
      <c r="O1190" s="504"/>
    </row>
    <row r="1191" ht="53.25" customHeight="1">
      <c r="O1191" s="504"/>
    </row>
    <row r="1192" ht="53.25" customHeight="1">
      <c r="O1192" s="504"/>
    </row>
    <row r="1193" ht="53.25" customHeight="1">
      <c r="O1193" s="504"/>
    </row>
    <row r="1194" ht="53.25" customHeight="1">
      <c r="O1194" s="504"/>
    </row>
    <row r="1195" ht="53.25" customHeight="1">
      <c r="O1195" s="504"/>
    </row>
    <row r="1196" ht="53.25" customHeight="1">
      <c r="O1196" s="504"/>
    </row>
    <row r="1197" ht="53.25" customHeight="1">
      <c r="O1197" s="504"/>
    </row>
    <row r="1198" ht="53.25" customHeight="1">
      <c r="O1198" s="504"/>
    </row>
    <row r="1199" ht="53.25" customHeight="1">
      <c r="O1199" s="504"/>
    </row>
    <row r="1200" ht="53.25" customHeight="1">
      <c r="O1200" s="504"/>
    </row>
    <row r="1201" ht="53.25" customHeight="1">
      <c r="O1201" s="504"/>
    </row>
    <row r="1202" ht="53.25" customHeight="1">
      <c r="O1202" s="504"/>
    </row>
    <row r="1203" ht="53.25" customHeight="1">
      <c r="O1203" s="504"/>
    </row>
    <row r="1204" ht="53.25" customHeight="1">
      <c r="O1204" s="504"/>
    </row>
    <row r="1205" ht="53.25" customHeight="1">
      <c r="O1205" s="504"/>
    </row>
    <row r="1206" ht="53.25" customHeight="1">
      <c r="O1206" s="504"/>
    </row>
    <row r="1207" ht="53.25" customHeight="1">
      <c r="O1207" s="504"/>
    </row>
    <row r="1208" ht="53.25" customHeight="1">
      <c r="O1208" s="504"/>
    </row>
    <row r="1209" ht="53.25" customHeight="1">
      <c r="O1209" s="504"/>
    </row>
    <row r="1210" ht="53.25" customHeight="1">
      <c r="O1210" s="504"/>
    </row>
    <row r="1211" ht="53.25" customHeight="1">
      <c r="O1211" s="504"/>
    </row>
    <row r="1212" ht="53.25" customHeight="1">
      <c r="O1212" s="504"/>
    </row>
    <row r="1213" ht="53.25" customHeight="1">
      <c r="O1213" s="504"/>
    </row>
    <row r="1214" ht="53.25" customHeight="1">
      <c r="O1214" s="504"/>
    </row>
    <row r="1215" ht="53.25" customHeight="1">
      <c r="O1215" s="504"/>
    </row>
    <row r="1216" ht="53.25" customHeight="1">
      <c r="O1216" s="504"/>
    </row>
    <row r="1217" ht="53.25" customHeight="1">
      <c r="O1217" s="504"/>
    </row>
    <row r="1218" ht="53.25" customHeight="1">
      <c r="O1218" s="504"/>
    </row>
    <row r="1219" ht="53.25" customHeight="1">
      <c r="O1219" s="504"/>
    </row>
    <row r="1220" ht="53.25" customHeight="1">
      <c r="O1220" s="504"/>
    </row>
    <row r="1221" ht="53.25" customHeight="1">
      <c r="O1221" s="504"/>
    </row>
    <row r="1222" ht="53.25" customHeight="1">
      <c r="O1222" s="504"/>
    </row>
    <row r="1223" ht="53.25" customHeight="1">
      <c r="O1223" s="504"/>
    </row>
    <row r="1224" ht="53.25" customHeight="1">
      <c r="O1224" s="504"/>
    </row>
    <row r="1225" ht="53.25" customHeight="1">
      <c r="O1225" s="504"/>
    </row>
    <row r="1226" ht="53.25" customHeight="1">
      <c r="O1226" s="504"/>
    </row>
    <row r="1227" ht="53.25" customHeight="1">
      <c r="O1227" s="504"/>
    </row>
    <row r="1228" ht="53.25" customHeight="1">
      <c r="O1228" s="504"/>
    </row>
    <row r="1229" ht="53.25" customHeight="1">
      <c r="O1229" s="504"/>
    </row>
    <row r="1230" ht="53.25" customHeight="1">
      <c r="O1230" s="504"/>
    </row>
    <row r="1231" ht="53.25" customHeight="1">
      <c r="O1231" s="504"/>
    </row>
    <row r="1232" ht="53.25" customHeight="1">
      <c r="O1232" s="504"/>
    </row>
    <row r="1233" ht="53.25" customHeight="1">
      <c r="O1233" s="504"/>
    </row>
    <row r="1234" ht="53.25" customHeight="1">
      <c r="O1234" s="504"/>
    </row>
    <row r="1235" ht="53.25" customHeight="1">
      <c r="O1235" s="504"/>
    </row>
    <row r="1236" ht="53.25" customHeight="1">
      <c r="O1236" s="504"/>
    </row>
    <row r="1237" ht="53.25" customHeight="1">
      <c r="O1237" s="504"/>
    </row>
    <row r="1238" ht="53.25" customHeight="1">
      <c r="O1238" s="504"/>
    </row>
    <row r="1239" ht="53.25" customHeight="1">
      <c r="O1239" s="504"/>
    </row>
    <row r="1240" ht="53.25" customHeight="1">
      <c r="O1240" s="504"/>
    </row>
    <row r="1241" ht="53.25" customHeight="1">
      <c r="O1241" s="504"/>
    </row>
    <row r="1242" ht="53.25" customHeight="1">
      <c r="O1242" s="504"/>
    </row>
    <row r="1243" ht="53.25" customHeight="1">
      <c r="O1243" s="504"/>
    </row>
    <row r="1244" ht="53.25" customHeight="1">
      <c r="O1244" s="504"/>
    </row>
    <row r="1245" ht="53.25" customHeight="1">
      <c r="O1245" s="504"/>
    </row>
    <row r="1246" ht="53.25" customHeight="1">
      <c r="O1246" s="504"/>
    </row>
    <row r="1247" ht="53.25" customHeight="1">
      <c r="O1247" s="504"/>
    </row>
    <row r="1248" ht="53.25" customHeight="1">
      <c r="O1248" s="504"/>
    </row>
    <row r="1249" ht="53.25" customHeight="1">
      <c r="O1249" s="504"/>
    </row>
    <row r="1250" ht="53.25" customHeight="1">
      <c r="O1250" s="504"/>
    </row>
    <row r="1251" ht="53.25" customHeight="1">
      <c r="O1251" s="504"/>
    </row>
    <row r="1252" ht="53.25" customHeight="1">
      <c r="O1252" s="504"/>
    </row>
    <row r="1253" ht="53.25" customHeight="1">
      <c r="O1253" s="504"/>
    </row>
    <row r="1254" ht="53.25" customHeight="1">
      <c r="O1254" s="504"/>
    </row>
    <row r="1255" ht="53.25" customHeight="1">
      <c r="O1255" s="504"/>
    </row>
    <row r="1256" ht="53.25" customHeight="1">
      <c r="O1256" s="504"/>
    </row>
    <row r="1257" ht="53.25" customHeight="1">
      <c r="O1257" s="504"/>
    </row>
    <row r="1258" ht="53.25" customHeight="1">
      <c r="O1258" s="504"/>
    </row>
    <row r="1259" ht="53.25" customHeight="1">
      <c r="O1259" s="504"/>
    </row>
    <row r="1260" ht="53.25" customHeight="1">
      <c r="O1260" s="504"/>
    </row>
    <row r="1261" ht="53.25" customHeight="1">
      <c r="O1261" s="504"/>
    </row>
    <row r="1262" ht="53.25" customHeight="1">
      <c r="O1262" s="504"/>
    </row>
    <row r="1263" ht="53.25" customHeight="1">
      <c r="O1263" s="504"/>
    </row>
    <row r="1264" ht="53.25" customHeight="1">
      <c r="O1264" s="504"/>
    </row>
    <row r="1265" ht="53.25" customHeight="1">
      <c r="O1265" s="504"/>
    </row>
    <row r="1266" ht="53.25" customHeight="1">
      <c r="O1266" s="504"/>
    </row>
    <row r="1267" ht="53.25" customHeight="1">
      <c r="O1267" s="504"/>
    </row>
    <row r="1268" ht="53.25" customHeight="1">
      <c r="O1268" s="504"/>
    </row>
    <row r="1269" ht="53.25" customHeight="1">
      <c r="O1269" s="504"/>
    </row>
    <row r="1270" ht="53.25" customHeight="1">
      <c r="O1270" s="504"/>
    </row>
    <row r="1271" ht="53.25" customHeight="1">
      <c r="O1271" s="504"/>
    </row>
    <row r="1272" ht="53.25" customHeight="1">
      <c r="O1272" s="504"/>
    </row>
    <row r="1273" ht="53.25" customHeight="1">
      <c r="O1273" s="504"/>
    </row>
    <row r="1274" ht="53.25" customHeight="1">
      <c r="O1274" s="504"/>
    </row>
    <row r="1275" ht="53.25" customHeight="1">
      <c r="O1275" s="504"/>
    </row>
    <row r="1276" ht="53.25" customHeight="1">
      <c r="O1276" s="504"/>
    </row>
    <row r="1277" ht="53.25" customHeight="1">
      <c r="O1277" s="504"/>
    </row>
    <row r="1278" ht="53.25" customHeight="1">
      <c r="O1278" s="504"/>
    </row>
    <row r="1279" ht="53.25" customHeight="1">
      <c r="O1279" s="504"/>
    </row>
    <row r="1280" ht="53.25" customHeight="1">
      <c r="O1280" s="504"/>
    </row>
    <row r="1281" ht="53.25" customHeight="1">
      <c r="O1281" s="504"/>
    </row>
    <row r="1282" ht="53.25" customHeight="1">
      <c r="O1282" s="504"/>
    </row>
    <row r="1283" ht="53.25" customHeight="1">
      <c r="O1283" s="504"/>
    </row>
    <row r="1284" ht="53.25" customHeight="1">
      <c r="O1284" s="504"/>
    </row>
    <row r="1285" ht="53.25" customHeight="1">
      <c r="O1285" s="504"/>
    </row>
    <row r="1286" ht="53.25" customHeight="1">
      <c r="O1286" s="504"/>
    </row>
    <row r="1287" ht="53.25" customHeight="1">
      <c r="O1287" s="504"/>
    </row>
    <row r="1288" ht="53.25" customHeight="1">
      <c r="O1288" s="504"/>
    </row>
    <row r="1289" ht="53.25" customHeight="1">
      <c r="O1289" s="504"/>
    </row>
    <row r="1290" ht="53.25" customHeight="1">
      <c r="O1290" s="504"/>
    </row>
    <row r="1291" ht="53.25" customHeight="1">
      <c r="O1291" s="504"/>
    </row>
    <row r="1292" ht="53.25" customHeight="1">
      <c r="O1292" s="504"/>
    </row>
    <row r="1293" ht="53.25" customHeight="1">
      <c r="O1293" s="504"/>
    </row>
    <row r="1294" ht="53.25" customHeight="1">
      <c r="O1294" s="504"/>
    </row>
    <row r="1295" ht="53.25" customHeight="1">
      <c r="O1295" s="504"/>
    </row>
    <row r="1296" ht="53.25" customHeight="1">
      <c r="O1296" s="504"/>
    </row>
    <row r="1297" ht="53.25" customHeight="1">
      <c r="O1297" s="504"/>
    </row>
    <row r="1298" ht="53.25" customHeight="1">
      <c r="O1298" s="504"/>
    </row>
    <row r="1299" ht="53.25" customHeight="1">
      <c r="O1299" s="504"/>
    </row>
    <row r="1300" ht="53.25" customHeight="1">
      <c r="O1300" s="504"/>
    </row>
    <row r="1301" ht="53.25" customHeight="1">
      <c r="O1301" s="504"/>
    </row>
    <row r="1302" ht="53.25" customHeight="1">
      <c r="O1302" s="504"/>
    </row>
    <row r="1303" ht="53.25" customHeight="1">
      <c r="O1303" s="504"/>
    </row>
    <row r="1304" ht="53.25" customHeight="1">
      <c r="O1304" s="504"/>
    </row>
    <row r="1305" ht="53.25" customHeight="1">
      <c r="O1305" s="504"/>
    </row>
    <row r="1306" ht="53.25" customHeight="1">
      <c r="O1306" s="504"/>
    </row>
    <row r="1307" ht="53.25" customHeight="1">
      <c r="O1307" s="504"/>
    </row>
    <row r="1308" ht="53.25" customHeight="1">
      <c r="O1308" s="504"/>
    </row>
    <row r="1309" ht="53.25" customHeight="1">
      <c r="O1309" s="504"/>
    </row>
    <row r="1310" ht="53.25" customHeight="1">
      <c r="O1310" s="504"/>
    </row>
    <row r="1311" ht="53.25" customHeight="1">
      <c r="O1311" s="504"/>
    </row>
    <row r="1312" ht="53.25" customHeight="1">
      <c r="O1312" s="504"/>
    </row>
    <row r="1313" ht="53.25" customHeight="1">
      <c r="O1313" s="504"/>
    </row>
    <row r="1314" ht="53.25" customHeight="1">
      <c r="O1314" s="504"/>
    </row>
    <row r="1315" ht="53.25" customHeight="1">
      <c r="O1315" s="504"/>
    </row>
    <row r="1316" ht="53.25" customHeight="1">
      <c r="O1316" s="504"/>
    </row>
    <row r="1317" ht="53.25" customHeight="1">
      <c r="O1317" s="504"/>
    </row>
    <row r="1318" ht="53.25" customHeight="1">
      <c r="O1318" s="504"/>
    </row>
    <row r="1319" ht="53.25" customHeight="1">
      <c r="O1319" s="504"/>
    </row>
    <row r="1320" ht="53.25" customHeight="1">
      <c r="O1320" s="504"/>
    </row>
    <row r="1321" ht="53.25" customHeight="1">
      <c r="O1321" s="504"/>
    </row>
    <row r="1322" ht="53.25" customHeight="1">
      <c r="O1322" s="504"/>
    </row>
    <row r="1323" ht="53.25" customHeight="1">
      <c r="O1323" s="504"/>
    </row>
    <row r="1324" ht="53.25" customHeight="1">
      <c r="O1324" s="504"/>
    </row>
    <row r="1325" ht="53.25" customHeight="1">
      <c r="O1325" s="504"/>
    </row>
    <row r="1326" ht="53.25" customHeight="1">
      <c r="O1326" s="504"/>
    </row>
    <row r="1327" ht="53.25" customHeight="1">
      <c r="O1327" s="504"/>
    </row>
    <row r="1328" ht="53.25" customHeight="1">
      <c r="O1328" s="504"/>
    </row>
    <row r="1329" ht="53.25" customHeight="1">
      <c r="O1329" s="504"/>
    </row>
    <row r="1330" ht="53.25" customHeight="1">
      <c r="O1330" s="504"/>
    </row>
    <row r="1331" ht="53.25" customHeight="1">
      <c r="O1331" s="504"/>
    </row>
    <row r="1332" ht="53.25" customHeight="1">
      <c r="O1332" s="504"/>
    </row>
    <row r="1333" ht="53.25" customHeight="1">
      <c r="O1333" s="504"/>
    </row>
    <row r="1334" ht="53.25" customHeight="1">
      <c r="O1334" s="504"/>
    </row>
    <row r="1335" ht="53.25" customHeight="1">
      <c r="O1335" s="504"/>
    </row>
    <row r="1336" ht="53.25" customHeight="1">
      <c r="O1336" s="504"/>
    </row>
    <row r="1337" ht="53.25" customHeight="1">
      <c r="O1337" s="504"/>
    </row>
    <row r="1338" ht="53.25" customHeight="1">
      <c r="O1338" s="504"/>
    </row>
    <row r="1339" ht="53.25" customHeight="1">
      <c r="O1339" s="504"/>
    </row>
    <row r="1340" ht="53.25" customHeight="1">
      <c r="O1340" s="504"/>
    </row>
    <row r="1341" ht="53.25" customHeight="1">
      <c r="O1341" s="504"/>
    </row>
    <row r="1342" ht="53.25" customHeight="1">
      <c r="O1342" s="504"/>
    </row>
    <row r="1343" ht="53.25" customHeight="1">
      <c r="O1343" s="504"/>
    </row>
    <row r="1344" ht="53.25" customHeight="1">
      <c r="O1344" s="504"/>
    </row>
    <row r="1345" ht="53.25" customHeight="1">
      <c r="O1345" s="504"/>
    </row>
    <row r="1346" ht="53.25" customHeight="1">
      <c r="O1346" s="504"/>
    </row>
    <row r="1347" ht="53.25" customHeight="1">
      <c r="O1347" s="504"/>
    </row>
    <row r="1348" ht="53.25" customHeight="1">
      <c r="O1348" s="504"/>
    </row>
    <row r="1349" ht="53.25" customHeight="1">
      <c r="O1349" s="504"/>
    </row>
    <row r="1350" ht="53.25" customHeight="1">
      <c r="O1350" s="504"/>
    </row>
    <row r="1351" ht="53.25" customHeight="1">
      <c r="O1351" s="504"/>
    </row>
    <row r="1352" ht="53.25" customHeight="1">
      <c r="O1352" s="504"/>
    </row>
    <row r="1353" ht="53.25" customHeight="1">
      <c r="O1353" s="504"/>
    </row>
    <row r="1354" ht="53.25" customHeight="1">
      <c r="O1354" s="504"/>
    </row>
    <row r="1355" ht="53.25" customHeight="1">
      <c r="O1355" s="504"/>
    </row>
    <row r="1356" ht="53.25" customHeight="1">
      <c r="O1356" s="504"/>
    </row>
    <row r="1357" ht="53.25" customHeight="1">
      <c r="O1357" s="504"/>
    </row>
    <row r="1358" ht="53.25" customHeight="1">
      <c r="O1358" s="504"/>
    </row>
    <row r="1359" ht="53.25" customHeight="1">
      <c r="O1359" s="504"/>
    </row>
    <row r="1360" ht="53.25" customHeight="1">
      <c r="O1360" s="504"/>
    </row>
    <row r="1361" ht="53.25" customHeight="1">
      <c r="O1361" s="504"/>
    </row>
    <row r="1362" ht="53.25" customHeight="1">
      <c r="O1362" s="504"/>
    </row>
    <row r="1363" ht="53.25" customHeight="1">
      <c r="O1363" s="504"/>
    </row>
    <row r="1364" ht="53.25" customHeight="1">
      <c r="O1364" s="504"/>
    </row>
    <row r="1365" ht="53.25" customHeight="1">
      <c r="O1365" s="504"/>
    </row>
    <row r="1366" ht="53.25" customHeight="1">
      <c r="O1366" s="504"/>
    </row>
    <row r="1367" ht="53.25" customHeight="1">
      <c r="O1367" s="504"/>
    </row>
    <row r="1368" ht="53.25" customHeight="1">
      <c r="O1368" s="504"/>
    </row>
    <row r="1369" ht="53.25" customHeight="1">
      <c r="O1369" s="504"/>
    </row>
    <row r="1370" ht="53.25" customHeight="1">
      <c r="O1370" s="504"/>
    </row>
    <row r="1371" ht="53.25" customHeight="1">
      <c r="O1371" s="504"/>
    </row>
    <row r="1372" ht="53.25" customHeight="1">
      <c r="O1372" s="504"/>
    </row>
    <row r="1373" ht="53.25" customHeight="1">
      <c r="O1373" s="504"/>
    </row>
    <row r="1374" ht="53.25" customHeight="1">
      <c r="O1374" s="504"/>
    </row>
    <row r="1375" ht="53.25" customHeight="1">
      <c r="O1375" s="504"/>
    </row>
    <row r="1376" ht="53.25" customHeight="1">
      <c r="O1376" s="504"/>
    </row>
    <row r="1377" ht="53.25" customHeight="1">
      <c r="O1377" s="504"/>
    </row>
    <row r="1378" ht="53.25" customHeight="1">
      <c r="O1378" s="504"/>
    </row>
    <row r="1379" ht="53.25" customHeight="1">
      <c r="O1379" s="504"/>
    </row>
    <row r="1380" ht="53.25" customHeight="1">
      <c r="O1380" s="504"/>
    </row>
    <row r="1381" ht="53.25" customHeight="1">
      <c r="O1381" s="504"/>
    </row>
    <row r="1382" ht="53.25" customHeight="1">
      <c r="O1382" s="504"/>
    </row>
    <row r="1383" ht="53.25" customHeight="1">
      <c r="O1383" s="504"/>
    </row>
    <row r="1384" ht="53.25" customHeight="1">
      <c r="O1384" s="504"/>
    </row>
    <row r="1385" ht="53.25" customHeight="1">
      <c r="O1385" s="504"/>
    </row>
    <row r="1386" ht="53.25" customHeight="1">
      <c r="O1386" s="504"/>
    </row>
    <row r="1387" ht="53.25" customHeight="1">
      <c r="O1387" s="504"/>
    </row>
    <row r="1388" ht="53.25" customHeight="1">
      <c r="O1388" s="504"/>
    </row>
    <row r="1389" ht="53.25" customHeight="1">
      <c r="O1389" s="504"/>
    </row>
    <row r="1390" ht="53.25" customHeight="1">
      <c r="O1390" s="504"/>
    </row>
    <row r="1391" ht="53.25" customHeight="1">
      <c r="O1391" s="504"/>
    </row>
    <row r="1392" ht="53.25" customHeight="1">
      <c r="O1392" s="504"/>
    </row>
    <row r="1393" ht="53.25" customHeight="1">
      <c r="O1393" s="504"/>
    </row>
    <row r="1394" ht="53.25" customHeight="1">
      <c r="O1394" s="504"/>
    </row>
    <row r="1395" ht="53.25" customHeight="1">
      <c r="O1395" s="504"/>
    </row>
    <row r="1396" ht="53.25" customHeight="1">
      <c r="O1396" s="504"/>
    </row>
    <row r="1397" ht="53.25" customHeight="1">
      <c r="O1397" s="504"/>
    </row>
    <row r="1398" ht="53.25" customHeight="1">
      <c r="O1398" s="504"/>
    </row>
    <row r="1399" ht="53.25" customHeight="1">
      <c r="O1399" s="504"/>
    </row>
    <row r="1400" ht="53.25" customHeight="1">
      <c r="O1400" s="504"/>
    </row>
    <row r="1401" ht="53.25" customHeight="1">
      <c r="O1401" s="504"/>
    </row>
    <row r="1402" ht="53.25" customHeight="1">
      <c r="O1402" s="504"/>
    </row>
    <row r="1403" ht="53.25" customHeight="1">
      <c r="O1403" s="504"/>
    </row>
    <row r="1404" ht="53.25" customHeight="1">
      <c r="O1404" s="504"/>
    </row>
    <row r="1405" ht="53.25" customHeight="1">
      <c r="O1405" s="504"/>
    </row>
    <row r="1406" ht="53.25" customHeight="1">
      <c r="O1406" s="504"/>
    </row>
    <row r="1407" ht="53.25" customHeight="1">
      <c r="O1407" s="504"/>
    </row>
    <row r="1408" ht="53.25" customHeight="1">
      <c r="O1408" s="504"/>
    </row>
    <row r="1409" ht="53.25" customHeight="1">
      <c r="O1409" s="504"/>
    </row>
    <row r="1410" ht="53.25" customHeight="1">
      <c r="O1410" s="504"/>
    </row>
    <row r="1411" ht="53.25" customHeight="1">
      <c r="O1411" s="504"/>
    </row>
    <row r="1412" ht="53.25" customHeight="1">
      <c r="O1412" s="504"/>
    </row>
    <row r="1413" ht="53.25" customHeight="1">
      <c r="O1413" s="504"/>
    </row>
    <row r="1414" ht="53.25" customHeight="1">
      <c r="O1414" s="504"/>
    </row>
    <row r="1415" ht="53.25" customHeight="1">
      <c r="O1415" s="504"/>
    </row>
    <row r="1416" ht="53.25" customHeight="1">
      <c r="O1416" s="504"/>
    </row>
    <row r="1417" ht="53.25" customHeight="1">
      <c r="O1417" s="504"/>
    </row>
    <row r="1418" ht="53.25" customHeight="1">
      <c r="O1418" s="504"/>
    </row>
    <row r="1419" ht="53.25" customHeight="1">
      <c r="O1419" s="504"/>
    </row>
    <row r="1420" ht="53.25" customHeight="1">
      <c r="O1420" s="504"/>
    </row>
    <row r="1421" ht="53.25" customHeight="1">
      <c r="O1421" s="504"/>
    </row>
    <row r="1422" ht="53.25" customHeight="1">
      <c r="O1422" s="504"/>
    </row>
    <row r="1423" ht="53.25" customHeight="1">
      <c r="O1423" s="504"/>
    </row>
    <row r="1424" ht="53.25" customHeight="1">
      <c r="O1424" s="504"/>
    </row>
    <row r="1425" ht="53.25" customHeight="1">
      <c r="O1425" s="504"/>
    </row>
    <row r="1426" ht="53.25" customHeight="1">
      <c r="O1426" s="504"/>
    </row>
    <row r="1427" ht="53.25" customHeight="1">
      <c r="O1427" s="504"/>
    </row>
    <row r="1428" ht="53.25" customHeight="1">
      <c r="O1428" s="504"/>
    </row>
    <row r="1429" ht="53.25" customHeight="1">
      <c r="O1429" s="504"/>
    </row>
    <row r="1430" ht="53.25" customHeight="1">
      <c r="O1430" s="504"/>
    </row>
    <row r="1431" ht="53.25" customHeight="1">
      <c r="O1431" s="504"/>
    </row>
    <row r="1432" ht="53.25" customHeight="1">
      <c r="O1432" s="504"/>
    </row>
    <row r="1433" ht="53.25" customHeight="1">
      <c r="O1433" s="504"/>
    </row>
    <row r="1434" ht="53.25" customHeight="1">
      <c r="O1434" s="504"/>
    </row>
    <row r="1435" ht="53.25" customHeight="1">
      <c r="O1435" s="504"/>
    </row>
    <row r="1436" ht="53.25" customHeight="1">
      <c r="O1436" s="504"/>
    </row>
    <row r="1437" ht="53.25" customHeight="1">
      <c r="O1437" s="504"/>
    </row>
    <row r="1438" ht="53.25" customHeight="1">
      <c r="O1438" s="504"/>
    </row>
    <row r="1439" ht="53.25" customHeight="1">
      <c r="O1439" s="504"/>
    </row>
    <row r="1440" ht="53.25" customHeight="1">
      <c r="O1440" s="504"/>
    </row>
    <row r="1441" ht="53.25" customHeight="1">
      <c r="O1441" s="504"/>
    </row>
    <row r="1442" ht="53.25" customHeight="1">
      <c r="O1442" s="504"/>
    </row>
    <row r="1443" ht="53.25" customHeight="1">
      <c r="O1443" s="504"/>
    </row>
    <row r="1444" ht="53.25" customHeight="1">
      <c r="O1444" s="504"/>
    </row>
    <row r="1445" ht="53.25" customHeight="1">
      <c r="O1445" s="504"/>
    </row>
    <row r="1446" ht="53.25" customHeight="1">
      <c r="O1446" s="504"/>
    </row>
    <row r="1447" ht="53.25" customHeight="1">
      <c r="O1447" s="504"/>
    </row>
    <row r="1448" ht="53.25" customHeight="1">
      <c r="O1448" s="504"/>
    </row>
    <row r="1449" ht="53.25" customHeight="1">
      <c r="O1449" s="504"/>
    </row>
    <row r="1450" ht="53.25" customHeight="1">
      <c r="O1450" s="504"/>
    </row>
    <row r="1451" ht="53.25" customHeight="1">
      <c r="O1451" s="504"/>
    </row>
    <row r="1452" ht="53.25" customHeight="1">
      <c r="O1452" s="504"/>
    </row>
    <row r="1453" ht="53.25" customHeight="1">
      <c r="O1453" s="504"/>
    </row>
    <row r="1454" ht="53.25" customHeight="1">
      <c r="O1454" s="504"/>
    </row>
    <row r="1455" ht="53.25" customHeight="1">
      <c r="O1455" s="504"/>
    </row>
    <row r="1456" ht="53.25" customHeight="1">
      <c r="O1456" s="504"/>
    </row>
    <row r="1457" ht="53.25" customHeight="1">
      <c r="O1457" s="504"/>
    </row>
    <row r="1458" ht="53.25" customHeight="1">
      <c r="O1458" s="504"/>
    </row>
    <row r="1459" ht="53.25" customHeight="1">
      <c r="O1459" s="504"/>
    </row>
    <row r="1460" ht="53.25" customHeight="1">
      <c r="O1460" s="504"/>
    </row>
    <row r="1461" ht="53.25" customHeight="1">
      <c r="O1461" s="504"/>
    </row>
    <row r="1462" ht="53.25" customHeight="1">
      <c r="O1462" s="504"/>
    </row>
    <row r="1463" ht="53.25" customHeight="1">
      <c r="O1463" s="504"/>
    </row>
    <row r="1464" ht="53.25" customHeight="1">
      <c r="O1464" s="504"/>
    </row>
    <row r="1465" ht="53.25" customHeight="1">
      <c r="O1465" s="504"/>
    </row>
    <row r="1466" ht="53.25" customHeight="1">
      <c r="O1466" s="504"/>
    </row>
    <row r="1467" ht="53.25" customHeight="1">
      <c r="O1467" s="504"/>
    </row>
    <row r="1468" ht="53.25" customHeight="1">
      <c r="O1468" s="504"/>
    </row>
    <row r="1469" ht="53.25" customHeight="1">
      <c r="O1469" s="504"/>
    </row>
    <row r="1470" ht="53.25" customHeight="1">
      <c r="O1470" s="504"/>
    </row>
    <row r="1471" ht="53.25" customHeight="1">
      <c r="O1471" s="504"/>
    </row>
    <row r="1472" ht="53.25" customHeight="1">
      <c r="O1472" s="504"/>
    </row>
    <row r="1473" ht="53.25" customHeight="1">
      <c r="O1473" s="504"/>
    </row>
    <row r="1474" ht="53.25" customHeight="1">
      <c r="O1474" s="504"/>
    </row>
    <row r="1475" ht="53.25" customHeight="1">
      <c r="O1475" s="504"/>
    </row>
    <row r="1476" ht="53.25" customHeight="1">
      <c r="O1476" s="504"/>
    </row>
    <row r="1477" ht="53.25" customHeight="1">
      <c r="O1477" s="504"/>
    </row>
    <row r="1478" ht="53.25" customHeight="1">
      <c r="O1478" s="504"/>
    </row>
    <row r="1479" ht="53.25" customHeight="1">
      <c r="O1479" s="504"/>
    </row>
    <row r="1480" ht="53.25" customHeight="1">
      <c r="O1480" s="504"/>
    </row>
    <row r="1481" ht="53.25" customHeight="1">
      <c r="O1481" s="504"/>
    </row>
    <row r="1482" ht="53.25" customHeight="1">
      <c r="O1482" s="504"/>
    </row>
    <row r="1483" ht="53.25" customHeight="1">
      <c r="O1483" s="504"/>
    </row>
    <row r="1484" ht="53.25" customHeight="1">
      <c r="O1484" s="504"/>
    </row>
    <row r="1485" ht="53.25" customHeight="1">
      <c r="O1485" s="504"/>
    </row>
    <row r="1486" ht="53.25" customHeight="1">
      <c r="O1486" s="504"/>
    </row>
    <row r="1487" ht="53.25" customHeight="1">
      <c r="O1487" s="504"/>
    </row>
    <row r="1488" ht="53.25" customHeight="1">
      <c r="O1488" s="504"/>
    </row>
    <row r="1489" ht="53.25" customHeight="1">
      <c r="O1489" s="504"/>
    </row>
    <row r="1490" ht="53.25" customHeight="1">
      <c r="O1490" s="504"/>
    </row>
    <row r="1491" ht="53.25" customHeight="1">
      <c r="O1491" s="504"/>
    </row>
    <row r="1492" ht="53.25" customHeight="1">
      <c r="O1492" s="504"/>
    </row>
    <row r="1493" ht="53.25" customHeight="1">
      <c r="O1493" s="504"/>
    </row>
    <row r="1494" ht="53.25" customHeight="1">
      <c r="O1494" s="504"/>
    </row>
    <row r="1495" ht="53.25" customHeight="1">
      <c r="O1495" s="504"/>
    </row>
    <row r="1496" ht="53.25" customHeight="1">
      <c r="O1496" s="504"/>
    </row>
    <row r="1497" ht="53.25" customHeight="1">
      <c r="O1497" s="504"/>
    </row>
    <row r="1498" ht="53.25" customHeight="1">
      <c r="O1498" s="504"/>
    </row>
    <row r="1499" ht="53.25" customHeight="1">
      <c r="O1499" s="504"/>
    </row>
    <row r="1500" ht="53.25" customHeight="1">
      <c r="O1500" s="504"/>
    </row>
    <row r="1501" ht="53.25" customHeight="1">
      <c r="O1501" s="504"/>
    </row>
    <row r="1502" ht="53.25" customHeight="1">
      <c r="O1502" s="504"/>
    </row>
    <row r="1503" ht="53.25" customHeight="1">
      <c r="O1503" s="504"/>
    </row>
    <row r="1504" ht="53.25" customHeight="1">
      <c r="O1504" s="504"/>
    </row>
    <row r="1505" ht="53.25" customHeight="1">
      <c r="O1505" s="504"/>
    </row>
    <row r="1506" ht="53.25" customHeight="1">
      <c r="O1506" s="504"/>
    </row>
    <row r="1507" ht="53.25" customHeight="1">
      <c r="O1507" s="504"/>
    </row>
    <row r="1508" ht="53.25" customHeight="1">
      <c r="O1508" s="504"/>
    </row>
    <row r="1509" ht="53.25" customHeight="1">
      <c r="O1509" s="504"/>
    </row>
    <row r="1510" ht="53.25" customHeight="1">
      <c r="O1510" s="504"/>
    </row>
    <row r="1511" ht="53.25" customHeight="1">
      <c r="O1511" s="504"/>
    </row>
    <row r="1512" ht="53.25" customHeight="1">
      <c r="O1512" s="504"/>
    </row>
    <row r="1513" ht="53.25" customHeight="1">
      <c r="O1513" s="504"/>
    </row>
    <row r="1514" ht="53.25" customHeight="1">
      <c r="O1514" s="504"/>
    </row>
    <row r="1515" ht="53.25" customHeight="1">
      <c r="O1515" s="504"/>
    </row>
    <row r="1516" ht="53.25" customHeight="1">
      <c r="O1516" s="504"/>
    </row>
    <row r="1517" ht="53.25" customHeight="1">
      <c r="O1517" s="504"/>
    </row>
    <row r="1518" ht="53.25" customHeight="1">
      <c r="O1518" s="504"/>
    </row>
    <row r="1519" ht="53.25" customHeight="1">
      <c r="O1519" s="504"/>
    </row>
    <row r="1520" ht="53.25" customHeight="1">
      <c r="O1520" s="504"/>
    </row>
    <row r="1521" ht="53.25" customHeight="1">
      <c r="O1521" s="504"/>
    </row>
    <row r="1522" ht="53.25" customHeight="1">
      <c r="O1522" s="504"/>
    </row>
    <row r="1523" ht="53.25" customHeight="1">
      <c r="O1523" s="504"/>
    </row>
    <row r="1524" ht="53.25" customHeight="1">
      <c r="O1524" s="504"/>
    </row>
    <row r="1525" ht="53.25" customHeight="1">
      <c r="O1525" s="504"/>
    </row>
    <row r="1526" ht="53.25" customHeight="1">
      <c r="O1526" s="504"/>
    </row>
    <row r="1527" ht="53.25" customHeight="1">
      <c r="O1527" s="504"/>
    </row>
    <row r="1528" ht="53.25" customHeight="1">
      <c r="O1528" s="504"/>
    </row>
    <row r="1529" ht="53.25" customHeight="1">
      <c r="O1529" s="504"/>
    </row>
    <row r="1530" ht="53.25" customHeight="1">
      <c r="O1530" s="504"/>
    </row>
    <row r="1531" ht="53.25" customHeight="1">
      <c r="O1531" s="504"/>
    </row>
    <row r="1532" ht="53.25" customHeight="1">
      <c r="O1532" s="504"/>
    </row>
    <row r="1533" ht="53.25" customHeight="1">
      <c r="O1533" s="504"/>
    </row>
    <row r="1534" ht="53.25" customHeight="1">
      <c r="O1534" s="504"/>
    </row>
    <row r="1535" ht="53.25" customHeight="1">
      <c r="O1535" s="504"/>
    </row>
    <row r="1536" ht="53.25" customHeight="1">
      <c r="O1536" s="504"/>
    </row>
    <row r="1537" ht="53.25" customHeight="1">
      <c r="O1537" s="504"/>
    </row>
    <row r="1538" ht="53.25" customHeight="1">
      <c r="O1538" s="504"/>
    </row>
    <row r="1539" ht="53.25" customHeight="1">
      <c r="O1539" s="504"/>
    </row>
    <row r="1540" ht="53.25" customHeight="1">
      <c r="O1540" s="504"/>
    </row>
    <row r="1541" ht="53.25" customHeight="1">
      <c r="O1541" s="504"/>
    </row>
    <row r="1542" ht="53.25" customHeight="1">
      <c r="O1542" s="504"/>
    </row>
    <row r="1543" ht="53.25" customHeight="1">
      <c r="O1543" s="504"/>
    </row>
    <row r="1544" ht="53.25" customHeight="1">
      <c r="O1544" s="504"/>
    </row>
    <row r="1545" ht="53.25" customHeight="1">
      <c r="O1545" s="504"/>
    </row>
    <row r="1546" ht="53.25" customHeight="1">
      <c r="O1546" s="504"/>
    </row>
    <row r="1547" ht="53.25" customHeight="1">
      <c r="O1547" s="504"/>
    </row>
    <row r="1548" ht="53.25" customHeight="1">
      <c r="O1548" s="504"/>
    </row>
    <row r="1549" ht="53.25" customHeight="1">
      <c r="O1549" s="504"/>
    </row>
    <row r="1550" ht="53.25" customHeight="1">
      <c r="O1550" s="504"/>
    </row>
    <row r="1551" ht="53.25" customHeight="1">
      <c r="O1551" s="504"/>
    </row>
    <row r="1552" ht="53.25" customHeight="1">
      <c r="O1552" s="504"/>
    </row>
    <row r="1553" ht="53.25" customHeight="1">
      <c r="O1553" s="504"/>
    </row>
    <row r="1554" ht="53.25" customHeight="1">
      <c r="O1554" s="504"/>
    </row>
    <row r="1555" ht="53.25" customHeight="1">
      <c r="O1555" s="504"/>
    </row>
    <row r="1556" ht="53.25" customHeight="1">
      <c r="O1556" s="504"/>
    </row>
    <row r="1557" ht="53.25" customHeight="1">
      <c r="O1557" s="504"/>
    </row>
    <row r="1558" ht="53.25" customHeight="1">
      <c r="O1558" s="504"/>
    </row>
    <row r="1559" ht="53.25" customHeight="1">
      <c r="O1559" s="504"/>
    </row>
    <row r="1560" ht="53.25" customHeight="1">
      <c r="O1560" s="504"/>
    </row>
    <row r="1561" ht="53.25" customHeight="1">
      <c r="O1561" s="504"/>
    </row>
    <row r="1562" ht="53.25" customHeight="1">
      <c r="O1562" s="504"/>
    </row>
    <row r="1563" ht="53.25" customHeight="1">
      <c r="O1563" s="504"/>
    </row>
    <row r="1564" ht="53.25" customHeight="1">
      <c r="O1564" s="504"/>
    </row>
    <row r="1565" ht="53.25" customHeight="1">
      <c r="O1565" s="504"/>
    </row>
    <row r="1566" ht="53.25" customHeight="1">
      <c r="O1566" s="504"/>
    </row>
    <row r="1567" ht="53.25" customHeight="1">
      <c r="O1567" s="504"/>
    </row>
    <row r="1568" ht="53.25" customHeight="1">
      <c r="O1568" s="504"/>
    </row>
    <row r="1569" ht="53.25" customHeight="1">
      <c r="O1569" s="504"/>
    </row>
    <row r="1570" ht="53.25" customHeight="1">
      <c r="O1570" s="504"/>
    </row>
    <row r="1571" ht="53.25" customHeight="1">
      <c r="O1571" s="504"/>
    </row>
    <row r="1572" ht="53.25" customHeight="1">
      <c r="O1572" s="504"/>
    </row>
    <row r="1573" ht="53.25" customHeight="1">
      <c r="O1573" s="504"/>
    </row>
    <row r="1574" ht="53.25" customHeight="1">
      <c r="O1574" s="504"/>
    </row>
    <row r="1575" ht="53.25" customHeight="1">
      <c r="O1575" s="504"/>
    </row>
    <row r="1576" ht="53.25" customHeight="1">
      <c r="O1576" s="504"/>
    </row>
    <row r="1577" ht="53.25" customHeight="1">
      <c r="O1577" s="504"/>
    </row>
    <row r="1578" ht="53.25" customHeight="1">
      <c r="O1578" s="504"/>
    </row>
    <row r="1579" ht="53.25" customHeight="1">
      <c r="O1579" s="504"/>
    </row>
    <row r="1580" ht="53.25" customHeight="1">
      <c r="O1580" s="504"/>
    </row>
    <row r="1581" ht="53.25" customHeight="1">
      <c r="O1581" s="504"/>
    </row>
    <row r="1582" ht="53.25" customHeight="1">
      <c r="O1582" s="504"/>
    </row>
    <row r="1583" ht="53.25" customHeight="1">
      <c r="O1583" s="504"/>
    </row>
    <row r="1584" ht="53.25" customHeight="1">
      <c r="O1584" s="504"/>
    </row>
    <row r="1585" ht="53.25" customHeight="1">
      <c r="O1585" s="504"/>
    </row>
    <row r="1586" ht="53.25" customHeight="1">
      <c r="O1586" s="504"/>
    </row>
    <row r="1587" ht="53.25" customHeight="1">
      <c r="O1587" s="504"/>
    </row>
    <row r="1588" ht="53.25" customHeight="1">
      <c r="O1588" s="504"/>
    </row>
    <row r="1589" ht="53.25" customHeight="1">
      <c r="O1589" s="504"/>
    </row>
    <row r="1590" ht="53.25" customHeight="1">
      <c r="O1590" s="504"/>
    </row>
    <row r="1591" ht="53.25" customHeight="1">
      <c r="O1591" s="504"/>
    </row>
    <row r="1592" ht="53.25" customHeight="1">
      <c r="O1592" s="504"/>
    </row>
    <row r="1593" ht="53.25" customHeight="1">
      <c r="O1593" s="504"/>
    </row>
    <row r="1594" ht="53.25" customHeight="1">
      <c r="O1594" s="504"/>
    </row>
    <row r="1595" ht="53.25" customHeight="1">
      <c r="O1595" s="504"/>
    </row>
    <row r="1596" ht="53.25" customHeight="1">
      <c r="O1596" s="504"/>
    </row>
    <row r="1597" ht="53.25" customHeight="1">
      <c r="O1597" s="504"/>
    </row>
    <row r="1598" ht="53.25" customHeight="1">
      <c r="O1598" s="504"/>
    </row>
    <row r="1599" ht="53.25" customHeight="1">
      <c r="O1599" s="504"/>
    </row>
    <row r="1600" ht="53.25" customHeight="1">
      <c r="O1600" s="504"/>
    </row>
    <row r="1601" ht="53.25" customHeight="1">
      <c r="O1601" s="504"/>
    </row>
    <row r="1602" ht="53.25" customHeight="1">
      <c r="O1602" s="504"/>
    </row>
    <row r="1603" ht="53.25" customHeight="1">
      <c r="O1603" s="504"/>
    </row>
    <row r="1604" ht="53.25" customHeight="1">
      <c r="O1604" s="504"/>
    </row>
    <row r="1605" ht="53.25" customHeight="1">
      <c r="O1605" s="504"/>
    </row>
    <row r="1606" ht="53.25" customHeight="1">
      <c r="O1606" s="504"/>
    </row>
    <row r="1607" ht="53.25" customHeight="1">
      <c r="O1607" s="504"/>
    </row>
    <row r="1608" ht="53.25" customHeight="1">
      <c r="O1608" s="504"/>
    </row>
    <row r="1609" ht="53.25" customHeight="1">
      <c r="O1609" s="504"/>
    </row>
    <row r="1610" ht="53.25" customHeight="1">
      <c r="O1610" s="504"/>
    </row>
    <row r="1611" ht="53.25" customHeight="1">
      <c r="O1611" s="504"/>
    </row>
    <row r="1612" ht="53.25" customHeight="1">
      <c r="O1612" s="504"/>
    </row>
    <row r="1613" ht="53.25" customHeight="1">
      <c r="O1613" s="504"/>
    </row>
    <row r="1614" ht="53.25" customHeight="1">
      <c r="O1614" s="504"/>
    </row>
    <row r="1615" ht="53.25" customHeight="1">
      <c r="O1615" s="504"/>
    </row>
    <row r="1616" ht="53.25" customHeight="1">
      <c r="O1616" s="504"/>
    </row>
    <row r="1617" ht="53.25" customHeight="1">
      <c r="O1617" s="504"/>
    </row>
    <row r="1618" ht="53.25" customHeight="1">
      <c r="O1618" s="504"/>
    </row>
    <row r="1619" ht="53.25" customHeight="1">
      <c r="O1619" s="504"/>
    </row>
    <row r="1620" ht="53.25" customHeight="1">
      <c r="O1620" s="504"/>
    </row>
    <row r="1621" ht="53.25" customHeight="1">
      <c r="O1621" s="504"/>
    </row>
    <row r="1622" ht="53.25" customHeight="1">
      <c r="O1622" s="504"/>
    </row>
    <row r="1623" ht="53.25" customHeight="1">
      <c r="O1623" s="504"/>
    </row>
    <row r="1624" ht="53.25" customHeight="1">
      <c r="O1624" s="504"/>
    </row>
    <row r="1625" ht="53.25" customHeight="1">
      <c r="O1625" s="504"/>
    </row>
    <row r="1626" ht="53.25" customHeight="1">
      <c r="O1626" s="504"/>
    </row>
    <row r="1627" ht="53.25" customHeight="1">
      <c r="O1627" s="504"/>
    </row>
    <row r="1628" ht="53.25" customHeight="1">
      <c r="O1628" s="504"/>
    </row>
    <row r="1629" ht="53.25" customHeight="1">
      <c r="O1629" s="504"/>
    </row>
    <row r="1630" ht="53.25" customHeight="1">
      <c r="O1630" s="504"/>
    </row>
    <row r="1631" ht="53.25" customHeight="1">
      <c r="O1631" s="504"/>
    </row>
    <row r="1632" ht="53.25" customHeight="1">
      <c r="O1632" s="504"/>
    </row>
    <row r="1633" ht="53.25" customHeight="1">
      <c r="O1633" s="504"/>
    </row>
    <row r="1634" ht="53.25" customHeight="1">
      <c r="O1634" s="504"/>
    </row>
    <row r="1635" ht="53.25" customHeight="1">
      <c r="O1635" s="504"/>
    </row>
    <row r="1636" ht="53.25" customHeight="1">
      <c r="O1636" s="504"/>
    </row>
    <row r="1637" ht="53.25" customHeight="1">
      <c r="O1637" s="504"/>
    </row>
    <row r="1638" ht="53.25" customHeight="1">
      <c r="O1638" s="504"/>
    </row>
    <row r="1639" ht="53.25" customHeight="1">
      <c r="O1639" s="504"/>
    </row>
    <row r="1640" ht="53.25" customHeight="1">
      <c r="O1640" s="504"/>
    </row>
    <row r="1641" ht="53.25" customHeight="1">
      <c r="O1641" s="504"/>
    </row>
    <row r="1642" ht="53.25" customHeight="1">
      <c r="O1642" s="504"/>
    </row>
    <row r="1643" ht="53.25" customHeight="1">
      <c r="O1643" s="504"/>
    </row>
    <row r="1644" ht="53.25" customHeight="1">
      <c r="O1644" s="504"/>
    </row>
    <row r="1645" ht="53.25" customHeight="1">
      <c r="O1645" s="504"/>
    </row>
    <row r="1646" ht="53.25" customHeight="1">
      <c r="O1646" s="504"/>
    </row>
    <row r="1647" ht="53.25" customHeight="1">
      <c r="O1647" s="504"/>
    </row>
    <row r="1648" ht="53.25" customHeight="1">
      <c r="O1648" s="504"/>
    </row>
    <row r="1649" ht="53.25" customHeight="1">
      <c r="O1649" s="504"/>
    </row>
    <row r="1650" ht="53.25" customHeight="1">
      <c r="O1650" s="504"/>
    </row>
    <row r="1651" ht="53.25" customHeight="1">
      <c r="O1651" s="504"/>
    </row>
    <row r="1652" ht="53.25" customHeight="1">
      <c r="O1652" s="504"/>
    </row>
    <row r="1653" ht="53.25" customHeight="1">
      <c r="O1653" s="504"/>
    </row>
    <row r="1654" ht="53.25" customHeight="1">
      <c r="O1654" s="504"/>
    </row>
    <row r="1655" ht="53.25" customHeight="1">
      <c r="O1655" s="504"/>
    </row>
    <row r="1656" ht="53.25" customHeight="1">
      <c r="O1656" s="504"/>
    </row>
    <row r="1657" ht="53.25" customHeight="1">
      <c r="O1657" s="504"/>
    </row>
    <row r="1658" ht="53.25" customHeight="1">
      <c r="O1658" s="504"/>
    </row>
    <row r="1659" ht="53.25" customHeight="1">
      <c r="O1659" s="504"/>
    </row>
    <row r="1660" ht="53.25" customHeight="1">
      <c r="O1660" s="504"/>
    </row>
    <row r="1661" ht="53.25" customHeight="1">
      <c r="O1661" s="504"/>
    </row>
    <row r="1662" ht="53.25" customHeight="1">
      <c r="O1662" s="504"/>
    </row>
    <row r="1663" ht="53.25" customHeight="1">
      <c r="O1663" s="504"/>
    </row>
    <row r="1664" ht="53.25" customHeight="1">
      <c r="O1664" s="504"/>
    </row>
    <row r="1665" ht="53.25" customHeight="1">
      <c r="O1665" s="504"/>
    </row>
    <row r="1666" ht="53.25" customHeight="1">
      <c r="O1666" s="504"/>
    </row>
    <row r="1667" ht="53.25" customHeight="1">
      <c r="O1667" s="504"/>
    </row>
    <row r="1668" ht="53.25" customHeight="1">
      <c r="O1668" s="504"/>
    </row>
    <row r="1669" ht="53.25" customHeight="1">
      <c r="O1669" s="504"/>
    </row>
    <row r="1670" ht="53.25" customHeight="1">
      <c r="O1670" s="504"/>
    </row>
    <row r="1671" ht="53.25" customHeight="1">
      <c r="O1671" s="504"/>
    </row>
    <row r="1672" ht="53.25" customHeight="1">
      <c r="O1672" s="504"/>
    </row>
    <row r="1673" ht="53.25" customHeight="1">
      <c r="O1673" s="504"/>
    </row>
    <row r="1674" ht="53.25" customHeight="1">
      <c r="O1674" s="504"/>
    </row>
    <row r="1675" ht="53.25" customHeight="1">
      <c r="O1675" s="504"/>
    </row>
    <row r="1676" ht="53.25" customHeight="1">
      <c r="O1676" s="504"/>
    </row>
    <row r="1677" ht="53.25" customHeight="1">
      <c r="O1677" s="504"/>
    </row>
    <row r="1678" ht="53.25" customHeight="1">
      <c r="O1678" s="504"/>
    </row>
    <row r="1679" ht="53.25" customHeight="1">
      <c r="O1679" s="504"/>
    </row>
    <row r="1680" ht="53.25" customHeight="1">
      <c r="O1680" s="504"/>
    </row>
    <row r="1681" ht="53.25" customHeight="1">
      <c r="O1681" s="504"/>
    </row>
    <row r="1682" ht="53.25" customHeight="1">
      <c r="O1682" s="504"/>
    </row>
    <row r="1683" ht="53.25" customHeight="1">
      <c r="O1683" s="504"/>
    </row>
    <row r="1684" ht="53.25" customHeight="1">
      <c r="O1684" s="504"/>
    </row>
    <row r="1685" ht="53.25" customHeight="1">
      <c r="O1685" s="504"/>
    </row>
    <row r="1686" ht="53.25" customHeight="1">
      <c r="O1686" s="504"/>
    </row>
    <row r="1687" ht="53.25" customHeight="1">
      <c r="O1687" s="504"/>
    </row>
    <row r="1688" ht="53.25" customHeight="1">
      <c r="O1688" s="504"/>
    </row>
    <row r="1689" ht="53.25" customHeight="1">
      <c r="O1689" s="504"/>
    </row>
    <row r="1690" ht="53.25" customHeight="1">
      <c r="O1690" s="504"/>
    </row>
    <row r="1691" ht="53.25" customHeight="1">
      <c r="O1691" s="504"/>
    </row>
    <row r="1692" ht="53.25" customHeight="1">
      <c r="O1692" s="504"/>
    </row>
    <row r="1693" ht="53.25" customHeight="1">
      <c r="O1693" s="504"/>
    </row>
    <row r="1694" ht="53.25" customHeight="1">
      <c r="O1694" s="504"/>
    </row>
    <row r="1695" ht="53.25" customHeight="1">
      <c r="O1695" s="504"/>
    </row>
    <row r="1696" ht="53.25" customHeight="1">
      <c r="O1696" s="504"/>
    </row>
    <row r="1697" ht="53.25" customHeight="1">
      <c r="O1697" s="504"/>
    </row>
    <row r="1698" ht="53.25" customHeight="1">
      <c r="O1698" s="504"/>
    </row>
    <row r="1699" ht="53.25" customHeight="1">
      <c r="O1699" s="504"/>
    </row>
    <row r="1700" ht="53.25" customHeight="1">
      <c r="O1700" s="504"/>
    </row>
    <row r="1701" ht="53.25" customHeight="1">
      <c r="O1701" s="504"/>
    </row>
    <row r="1702" ht="53.25" customHeight="1">
      <c r="O1702" s="504"/>
    </row>
    <row r="1703" ht="53.25" customHeight="1">
      <c r="O1703" s="504"/>
    </row>
    <row r="1704" ht="53.25" customHeight="1">
      <c r="O1704" s="504"/>
    </row>
    <row r="1705" ht="53.25" customHeight="1">
      <c r="O1705" s="504"/>
    </row>
    <row r="1706" ht="53.25" customHeight="1">
      <c r="O1706" s="504"/>
    </row>
    <row r="1707" ht="53.25" customHeight="1">
      <c r="O1707" s="504"/>
    </row>
    <row r="1708" ht="53.25" customHeight="1">
      <c r="O1708" s="504"/>
    </row>
    <row r="1709" ht="53.25" customHeight="1">
      <c r="O1709" s="504"/>
    </row>
    <row r="1710" ht="53.25" customHeight="1">
      <c r="O1710" s="504"/>
    </row>
    <row r="1711" ht="53.25" customHeight="1">
      <c r="O1711" s="504"/>
    </row>
    <row r="1712" ht="53.25" customHeight="1">
      <c r="O1712" s="504"/>
    </row>
    <row r="1713" ht="53.25" customHeight="1">
      <c r="O1713" s="504"/>
    </row>
    <row r="1714" ht="53.25" customHeight="1">
      <c r="O1714" s="504"/>
    </row>
    <row r="1715" ht="53.25" customHeight="1">
      <c r="O1715" s="504"/>
    </row>
    <row r="1716" ht="53.25" customHeight="1">
      <c r="O1716" s="504"/>
    </row>
    <row r="1717" ht="53.25" customHeight="1">
      <c r="O1717" s="504"/>
    </row>
    <row r="1718" ht="53.25" customHeight="1">
      <c r="O1718" s="504"/>
    </row>
    <row r="1719" ht="53.25" customHeight="1">
      <c r="O1719" s="504"/>
    </row>
    <row r="1720" ht="53.25" customHeight="1">
      <c r="O1720" s="504"/>
    </row>
    <row r="1721" ht="53.25" customHeight="1">
      <c r="O1721" s="504"/>
    </row>
    <row r="1722" ht="53.25" customHeight="1">
      <c r="O1722" s="504"/>
    </row>
    <row r="1723" ht="53.25" customHeight="1">
      <c r="O1723" s="504"/>
    </row>
    <row r="1724" ht="53.25" customHeight="1">
      <c r="O1724" s="504"/>
    </row>
    <row r="1725" ht="53.25" customHeight="1">
      <c r="O1725" s="504"/>
    </row>
    <row r="1726" ht="53.25" customHeight="1">
      <c r="O1726" s="504"/>
    </row>
    <row r="1727" ht="53.25" customHeight="1">
      <c r="O1727" s="504"/>
    </row>
    <row r="1728" ht="53.25" customHeight="1">
      <c r="O1728" s="504"/>
    </row>
    <row r="1729" ht="53.25" customHeight="1">
      <c r="O1729" s="504"/>
    </row>
    <row r="1730" ht="53.25" customHeight="1">
      <c r="O1730" s="504"/>
    </row>
    <row r="1731" ht="53.25" customHeight="1">
      <c r="O1731" s="504"/>
    </row>
    <row r="1732" ht="53.25" customHeight="1">
      <c r="O1732" s="504"/>
    </row>
    <row r="1733" ht="53.25" customHeight="1">
      <c r="O1733" s="504"/>
    </row>
    <row r="1734" ht="53.25" customHeight="1">
      <c r="O1734" s="504"/>
    </row>
    <row r="1735" ht="53.25" customHeight="1">
      <c r="O1735" s="504"/>
    </row>
    <row r="1736" ht="53.25" customHeight="1">
      <c r="O1736" s="504"/>
    </row>
    <row r="1737" ht="53.25" customHeight="1">
      <c r="O1737" s="504"/>
    </row>
    <row r="1738" ht="53.25" customHeight="1">
      <c r="O1738" s="504"/>
    </row>
    <row r="1739" ht="53.25" customHeight="1">
      <c r="O1739" s="504"/>
    </row>
    <row r="1740" ht="53.25" customHeight="1">
      <c r="O1740" s="504"/>
    </row>
    <row r="1741" ht="53.25" customHeight="1">
      <c r="O1741" s="504"/>
    </row>
    <row r="1742" ht="53.25" customHeight="1">
      <c r="O1742" s="504"/>
    </row>
    <row r="1743" ht="53.25" customHeight="1">
      <c r="O1743" s="504"/>
    </row>
    <row r="1744" ht="53.25" customHeight="1">
      <c r="O1744" s="504"/>
    </row>
    <row r="1745" ht="53.25" customHeight="1">
      <c r="O1745" s="504"/>
    </row>
    <row r="1746" ht="53.25" customHeight="1">
      <c r="O1746" s="504"/>
    </row>
    <row r="1747" ht="53.25" customHeight="1">
      <c r="O1747" s="504"/>
    </row>
    <row r="1748" ht="53.25" customHeight="1">
      <c r="O1748" s="504"/>
    </row>
    <row r="1749" ht="53.25" customHeight="1">
      <c r="O1749" s="504"/>
    </row>
    <row r="1750" ht="53.25" customHeight="1">
      <c r="O1750" s="504"/>
    </row>
    <row r="1751" ht="53.25" customHeight="1">
      <c r="O1751" s="504"/>
    </row>
    <row r="1752" ht="53.25" customHeight="1">
      <c r="O1752" s="504"/>
    </row>
    <row r="1753" ht="53.25" customHeight="1">
      <c r="O1753" s="504"/>
    </row>
    <row r="1754" ht="53.25" customHeight="1">
      <c r="O1754" s="504"/>
    </row>
    <row r="1755" ht="53.25" customHeight="1">
      <c r="O1755" s="504"/>
    </row>
    <row r="1756" ht="53.25" customHeight="1">
      <c r="O1756" s="504"/>
    </row>
    <row r="1757" ht="53.25" customHeight="1">
      <c r="O1757" s="504"/>
    </row>
    <row r="1758" ht="53.25" customHeight="1">
      <c r="O1758" s="504"/>
    </row>
    <row r="1759" ht="53.25" customHeight="1">
      <c r="O1759" s="504"/>
    </row>
    <row r="1760" ht="53.25" customHeight="1">
      <c r="O1760" s="504"/>
    </row>
    <row r="1761" ht="53.25" customHeight="1">
      <c r="O1761" s="504"/>
    </row>
    <row r="1762" ht="53.25" customHeight="1">
      <c r="O1762" s="504"/>
    </row>
    <row r="1763" ht="53.25" customHeight="1">
      <c r="O1763" s="504"/>
    </row>
    <row r="1764" ht="53.25" customHeight="1">
      <c r="O1764" s="504"/>
    </row>
    <row r="1765" ht="53.25" customHeight="1">
      <c r="O1765" s="504"/>
    </row>
    <row r="1766" ht="53.25" customHeight="1">
      <c r="O1766" s="504"/>
    </row>
    <row r="1767" ht="53.25" customHeight="1">
      <c r="O1767" s="504"/>
    </row>
    <row r="1768" ht="53.25" customHeight="1">
      <c r="O1768" s="504"/>
    </row>
    <row r="1769" ht="53.25" customHeight="1">
      <c r="O1769" s="504"/>
    </row>
    <row r="1770" ht="53.25" customHeight="1">
      <c r="O1770" s="504"/>
    </row>
    <row r="1771" ht="53.25" customHeight="1">
      <c r="O1771" s="504"/>
    </row>
    <row r="1772" ht="53.25" customHeight="1">
      <c r="O1772" s="504"/>
    </row>
    <row r="1773" ht="53.25" customHeight="1">
      <c r="O1773" s="504"/>
    </row>
    <row r="1774" ht="53.25" customHeight="1">
      <c r="O1774" s="504"/>
    </row>
    <row r="1775" ht="53.25" customHeight="1">
      <c r="O1775" s="504"/>
    </row>
    <row r="1776" ht="53.25" customHeight="1">
      <c r="O1776" s="504"/>
    </row>
    <row r="1777" ht="53.25" customHeight="1">
      <c r="O1777" s="504"/>
    </row>
    <row r="1778" ht="53.25" customHeight="1">
      <c r="O1778" s="504"/>
    </row>
    <row r="1779" ht="53.25" customHeight="1">
      <c r="O1779" s="504"/>
    </row>
    <row r="1780" ht="53.25" customHeight="1">
      <c r="O1780" s="504"/>
    </row>
    <row r="1781" ht="53.25" customHeight="1">
      <c r="O1781" s="504"/>
    </row>
    <row r="1782" ht="53.25" customHeight="1">
      <c r="O1782" s="504"/>
    </row>
    <row r="1783" ht="53.25" customHeight="1">
      <c r="O1783" s="504"/>
    </row>
    <row r="1784" ht="53.25" customHeight="1">
      <c r="O1784" s="504"/>
    </row>
    <row r="1785" ht="53.25" customHeight="1">
      <c r="O1785" s="504"/>
    </row>
    <row r="1786" ht="53.25" customHeight="1">
      <c r="O1786" s="504"/>
    </row>
    <row r="1787" ht="53.25" customHeight="1">
      <c r="O1787" s="504"/>
    </row>
    <row r="1788" ht="53.25" customHeight="1">
      <c r="O1788" s="504"/>
    </row>
    <row r="1789" ht="53.25" customHeight="1">
      <c r="O1789" s="504"/>
    </row>
    <row r="1790" ht="53.25" customHeight="1">
      <c r="O1790" s="504"/>
    </row>
    <row r="1791" ht="53.25" customHeight="1">
      <c r="O1791" s="504"/>
    </row>
    <row r="1792" ht="53.25" customHeight="1">
      <c r="O1792" s="504"/>
    </row>
    <row r="1793" ht="53.25" customHeight="1">
      <c r="O1793" s="504"/>
    </row>
    <row r="1794" ht="53.25" customHeight="1">
      <c r="O1794" s="504"/>
    </row>
    <row r="1795" ht="53.25" customHeight="1">
      <c r="O1795" s="504"/>
    </row>
    <row r="1796" ht="53.25" customHeight="1">
      <c r="O1796" s="504"/>
    </row>
    <row r="1797" ht="53.25" customHeight="1">
      <c r="O1797" s="504"/>
    </row>
    <row r="1798" ht="53.25" customHeight="1">
      <c r="O1798" s="504"/>
    </row>
    <row r="1799" ht="53.25" customHeight="1">
      <c r="O1799" s="504"/>
    </row>
    <row r="1800" ht="53.25" customHeight="1">
      <c r="O1800" s="504"/>
    </row>
    <row r="1801" ht="53.25" customHeight="1">
      <c r="O1801" s="504"/>
    </row>
    <row r="1802" ht="53.25" customHeight="1">
      <c r="O1802" s="504"/>
    </row>
    <row r="1803" ht="53.25" customHeight="1">
      <c r="O1803" s="504"/>
    </row>
    <row r="1804" ht="53.25" customHeight="1">
      <c r="O1804" s="504"/>
    </row>
    <row r="1805" ht="53.25" customHeight="1">
      <c r="O1805" s="504"/>
    </row>
    <row r="1806" ht="53.25" customHeight="1">
      <c r="O1806" s="504"/>
    </row>
    <row r="1807" ht="53.25" customHeight="1">
      <c r="O1807" s="504"/>
    </row>
    <row r="1808" ht="53.25" customHeight="1">
      <c r="O1808" s="504"/>
    </row>
    <row r="1809" ht="53.25" customHeight="1">
      <c r="O1809" s="504"/>
    </row>
    <row r="1810" ht="53.25" customHeight="1">
      <c r="O1810" s="504"/>
    </row>
    <row r="1811" ht="53.25" customHeight="1">
      <c r="O1811" s="504"/>
    </row>
    <row r="1812" ht="53.25" customHeight="1">
      <c r="O1812" s="504"/>
    </row>
    <row r="1813" ht="53.25" customHeight="1">
      <c r="O1813" s="504"/>
    </row>
    <row r="1814" ht="53.25" customHeight="1">
      <c r="O1814" s="504"/>
    </row>
    <row r="1815" ht="53.25" customHeight="1">
      <c r="O1815" s="504"/>
    </row>
    <row r="1816" ht="53.25" customHeight="1">
      <c r="O1816" s="504"/>
    </row>
    <row r="1817" ht="53.25" customHeight="1">
      <c r="O1817" s="504"/>
    </row>
    <row r="1818" ht="53.25" customHeight="1">
      <c r="O1818" s="504"/>
    </row>
    <row r="1819" ht="53.25" customHeight="1">
      <c r="O1819" s="504"/>
    </row>
    <row r="1820" ht="53.25" customHeight="1">
      <c r="O1820" s="504"/>
    </row>
    <row r="1821" ht="53.25" customHeight="1">
      <c r="O1821" s="504"/>
    </row>
    <row r="1822" ht="53.25" customHeight="1">
      <c r="O1822" s="504"/>
    </row>
    <row r="1823" ht="53.25" customHeight="1">
      <c r="O1823" s="504"/>
    </row>
    <row r="1824" ht="53.25" customHeight="1">
      <c r="O1824" s="504"/>
    </row>
    <row r="1825" ht="53.25" customHeight="1">
      <c r="O1825" s="504"/>
    </row>
    <row r="1826" ht="53.25" customHeight="1">
      <c r="O1826" s="504"/>
    </row>
    <row r="1827" ht="53.25" customHeight="1">
      <c r="O1827" s="504"/>
    </row>
    <row r="1828" ht="53.25" customHeight="1">
      <c r="O1828" s="504"/>
    </row>
    <row r="1829" ht="53.25" customHeight="1">
      <c r="O1829" s="504"/>
    </row>
    <row r="1830" ht="53.25" customHeight="1">
      <c r="O1830" s="504"/>
    </row>
    <row r="1831" ht="53.25" customHeight="1">
      <c r="O1831" s="504"/>
    </row>
    <row r="1832" ht="53.25" customHeight="1">
      <c r="O1832" s="504"/>
    </row>
    <row r="1833" ht="53.25" customHeight="1">
      <c r="O1833" s="504"/>
    </row>
    <row r="1834" ht="53.25" customHeight="1">
      <c r="O1834" s="504"/>
    </row>
    <row r="1835" ht="53.25" customHeight="1">
      <c r="O1835" s="504"/>
    </row>
    <row r="1836" ht="53.25" customHeight="1">
      <c r="O1836" s="504"/>
    </row>
    <row r="1837" ht="53.25" customHeight="1">
      <c r="O1837" s="504"/>
    </row>
    <row r="1838" ht="53.25" customHeight="1">
      <c r="O1838" s="504"/>
    </row>
    <row r="1839" ht="53.25" customHeight="1">
      <c r="O1839" s="504"/>
    </row>
    <row r="1840" ht="53.25" customHeight="1">
      <c r="O1840" s="504"/>
    </row>
    <row r="1841" ht="53.25" customHeight="1">
      <c r="O1841" s="504"/>
    </row>
    <row r="1842" ht="53.25" customHeight="1">
      <c r="O1842" s="504"/>
    </row>
    <row r="1843" ht="53.25" customHeight="1">
      <c r="O1843" s="504"/>
    </row>
    <row r="1844" ht="53.25" customHeight="1">
      <c r="O1844" s="504"/>
    </row>
    <row r="1845" ht="53.25" customHeight="1">
      <c r="O1845" s="504"/>
    </row>
    <row r="1846" ht="53.25" customHeight="1">
      <c r="O1846" s="504"/>
    </row>
    <row r="1847" ht="53.25" customHeight="1">
      <c r="O1847" s="504"/>
    </row>
    <row r="1848" ht="53.25" customHeight="1">
      <c r="O1848" s="504"/>
    </row>
    <row r="1849" ht="53.25" customHeight="1">
      <c r="O1849" s="504"/>
    </row>
    <row r="1850" ht="53.25" customHeight="1">
      <c r="O1850" s="504"/>
    </row>
    <row r="1851" ht="53.25" customHeight="1">
      <c r="O1851" s="504"/>
    </row>
    <row r="1852" ht="53.25" customHeight="1">
      <c r="O1852" s="504"/>
    </row>
    <row r="1853" ht="53.25" customHeight="1">
      <c r="O1853" s="504"/>
    </row>
    <row r="1854" ht="53.25" customHeight="1">
      <c r="O1854" s="504"/>
    </row>
    <row r="1855" ht="53.25" customHeight="1">
      <c r="O1855" s="504"/>
    </row>
    <row r="1856" ht="53.25" customHeight="1">
      <c r="O1856" s="504"/>
    </row>
    <row r="1857" ht="53.25" customHeight="1">
      <c r="O1857" s="504"/>
    </row>
    <row r="1858" ht="53.25" customHeight="1">
      <c r="O1858" s="504"/>
    </row>
    <row r="1859" ht="53.25" customHeight="1">
      <c r="O1859" s="504"/>
    </row>
    <row r="1860" ht="53.25" customHeight="1">
      <c r="O1860" s="504"/>
    </row>
    <row r="1861" ht="53.25" customHeight="1">
      <c r="O1861" s="504"/>
    </row>
    <row r="1862" ht="53.25" customHeight="1">
      <c r="O1862" s="504"/>
    </row>
    <row r="1863" ht="53.25" customHeight="1">
      <c r="O1863" s="504"/>
    </row>
    <row r="1864" ht="53.25" customHeight="1">
      <c r="O1864" s="504"/>
    </row>
    <row r="1865" ht="53.25" customHeight="1">
      <c r="O1865" s="504"/>
    </row>
    <row r="1866" ht="53.25" customHeight="1">
      <c r="O1866" s="504"/>
    </row>
    <row r="1867" ht="53.25" customHeight="1">
      <c r="O1867" s="504"/>
    </row>
    <row r="1868" ht="53.25" customHeight="1">
      <c r="O1868" s="504"/>
    </row>
    <row r="1869" ht="53.25" customHeight="1">
      <c r="O1869" s="504"/>
    </row>
    <row r="1870" ht="53.25" customHeight="1">
      <c r="O1870" s="504"/>
    </row>
    <row r="1871" ht="53.25" customHeight="1">
      <c r="O1871" s="504"/>
    </row>
    <row r="1872" ht="53.25" customHeight="1">
      <c r="O1872" s="504"/>
    </row>
    <row r="1873" ht="53.25" customHeight="1">
      <c r="O1873" s="504"/>
    </row>
    <row r="1874" ht="53.25" customHeight="1">
      <c r="O1874" s="504"/>
    </row>
    <row r="1875" ht="53.25" customHeight="1">
      <c r="O1875" s="504"/>
    </row>
    <row r="1876" ht="53.25" customHeight="1">
      <c r="O1876" s="504"/>
    </row>
    <row r="1877" ht="53.25" customHeight="1">
      <c r="O1877" s="504"/>
    </row>
    <row r="1878" ht="53.25" customHeight="1">
      <c r="O1878" s="504"/>
    </row>
    <row r="1879" ht="53.25" customHeight="1">
      <c r="O1879" s="504"/>
    </row>
    <row r="1880" ht="53.25" customHeight="1">
      <c r="O1880" s="504"/>
    </row>
    <row r="1881" ht="53.25" customHeight="1">
      <c r="O1881" s="504"/>
    </row>
    <row r="1882" ht="53.25" customHeight="1">
      <c r="O1882" s="504"/>
    </row>
    <row r="1883" ht="53.25" customHeight="1">
      <c r="O1883" s="504"/>
    </row>
    <row r="1884" ht="53.25" customHeight="1">
      <c r="O1884" s="504"/>
    </row>
    <row r="1885" ht="53.25" customHeight="1">
      <c r="O1885" s="504"/>
    </row>
    <row r="1886" ht="53.25" customHeight="1">
      <c r="O1886" s="504"/>
    </row>
    <row r="1887" ht="53.25" customHeight="1">
      <c r="O1887" s="504"/>
    </row>
    <row r="1888" ht="53.25" customHeight="1">
      <c r="O1888" s="504"/>
    </row>
    <row r="1889" ht="53.25" customHeight="1">
      <c r="O1889" s="504"/>
    </row>
    <row r="1890" ht="53.25" customHeight="1">
      <c r="O1890" s="504"/>
    </row>
    <row r="1891" ht="53.25" customHeight="1">
      <c r="O1891" s="504"/>
    </row>
    <row r="1892" ht="53.25" customHeight="1">
      <c r="O1892" s="504"/>
    </row>
    <row r="1893" ht="53.25" customHeight="1">
      <c r="O1893" s="504"/>
    </row>
    <row r="1894" ht="53.25" customHeight="1">
      <c r="O1894" s="504"/>
    </row>
    <row r="1895" ht="53.25" customHeight="1">
      <c r="O1895" s="504"/>
    </row>
    <row r="1896" ht="53.25" customHeight="1">
      <c r="O1896" s="504"/>
    </row>
    <row r="1897" ht="53.25" customHeight="1">
      <c r="O1897" s="504"/>
    </row>
    <row r="1898" ht="53.25" customHeight="1">
      <c r="O1898" s="504"/>
    </row>
    <row r="1899" ht="53.25" customHeight="1">
      <c r="O1899" s="504"/>
    </row>
    <row r="1900" ht="53.25" customHeight="1">
      <c r="O1900" s="504"/>
    </row>
    <row r="1901" ht="53.25" customHeight="1">
      <c r="O1901" s="504"/>
    </row>
    <row r="1902" ht="53.25" customHeight="1">
      <c r="O1902" s="504"/>
    </row>
    <row r="1903" ht="53.25" customHeight="1">
      <c r="O1903" s="504"/>
    </row>
    <row r="1904" ht="53.25" customHeight="1">
      <c r="O1904" s="504"/>
    </row>
    <row r="1905" ht="53.25" customHeight="1">
      <c r="O1905" s="504"/>
    </row>
    <row r="1906" ht="53.25" customHeight="1">
      <c r="O1906" s="504"/>
    </row>
    <row r="1907" ht="53.25" customHeight="1">
      <c r="O1907" s="504"/>
    </row>
    <row r="1908" ht="53.25" customHeight="1">
      <c r="O1908" s="504"/>
    </row>
    <row r="1909" ht="53.25" customHeight="1">
      <c r="O1909" s="504"/>
    </row>
    <row r="1910" ht="53.25" customHeight="1">
      <c r="O1910" s="504"/>
    </row>
    <row r="1911" ht="53.25" customHeight="1">
      <c r="O1911" s="504"/>
    </row>
    <row r="1912" ht="53.25" customHeight="1">
      <c r="O1912" s="504"/>
    </row>
    <row r="1913" ht="53.25" customHeight="1">
      <c r="O1913" s="504"/>
    </row>
    <row r="1914" ht="53.25" customHeight="1">
      <c r="O1914" s="504"/>
    </row>
    <row r="1915" ht="53.25" customHeight="1">
      <c r="O1915" s="504"/>
    </row>
    <row r="1916" ht="53.25" customHeight="1">
      <c r="O1916" s="504"/>
    </row>
    <row r="1917" ht="53.25" customHeight="1">
      <c r="O1917" s="504"/>
    </row>
    <row r="1918" ht="53.25" customHeight="1">
      <c r="O1918" s="504"/>
    </row>
    <row r="1919" ht="53.25" customHeight="1">
      <c r="O1919" s="504"/>
    </row>
    <row r="1920" ht="53.25" customHeight="1">
      <c r="O1920" s="504"/>
    </row>
    <row r="1921" ht="53.25" customHeight="1">
      <c r="O1921" s="504"/>
    </row>
    <row r="1922" ht="53.25" customHeight="1">
      <c r="O1922" s="504"/>
    </row>
    <row r="1923" ht="53.25" customHeight="1">
      <c r="O1923" s="504"/>
    </row>
    <row r="1924" ht="53.25" customHeight="1">
      <c r="O1924" s="504"/>
    </row>
    <row r="1925" ht="53.25" customHeight="1">
      <c r="O1925" s="504"/>
    </row>
    <row r="1926" ht="53.25" customHeight="1">
      <c r="O1926" s="504"/>
    </row>
    <row r="1927" ht="53.25" customHeight="1">
      <c r="O1927" s="504"/>
    </row>
    <row r="1928" ht="53.25" customHeight="1">
      <c r="O1928" s="504"/>
    </row>
    <row r="1929" ht="53.25" customHeight="1">
      <c r="O1929" s="504"/>
    </row>
    <row r="1930" ht="53.25" customHeight="1">
      <c r="O1930" s="504"/>
    </row>
    <row r="1931" ht="53.25" customHeight="1">
      <c r="O1931" s="504"/>
    </row>
    <row r="1932" ht="53.25" customHeight="1">
      <c r="O1932" s="504"/>
    </row>
    <row r="1933" ht="53.25" customHeight="1">
      <c r="O1933" s="504"/>
    </row>
    <row r="1934" ht="53.25" customHeight="1">
      <c r="O1934" s="504"/>
    </row>
    <row r="1935" ht="53.25" customHeight="1">
      <c r="O1935" s="504"/>
    </row>
    <row r="1936" ht="53.25" customHeight="1">
      <c r="O1936" s="504"/>
    </row>
    <row r="1937" ht="53.25" customHeight="1">
      <c r="O1937" s="504"/>
    </row>
    <row r="1938" ht="53.25" customHeight="1">
      <c r="O1938" s="504"/>
    </row>
    <row r="1939" ht="53.25" customHeight="1">
      <c r="O1939" s="504"/>
    </row>
    <row r="1940" ht="53.25" customHeight="1">
      <c r="O1940" s="504"/>
    </row>
    <row r="1941" ht="53.25" customHeight="1">
      <c r="O1941" s="504"/>
    </row>
    <row r="1942" ht="53.25" customHeight="1">
      <c r="O1942" s="504"/>
    </row>
    <row r="1943" ht="53.25" customHeight="1">
      <c r="O1943" s="504"/>
    </row>
    <row r="1944" ht="53.25" customHeight="1">
      <c r="O1944" s="504"/>
    </row>
    <row r="1945" ht="53.25" customHeight="1">
      <c r="O1945" s="504"/>
    </row>
    <row r="1946" ht="53.25" customHeight="1">
      <c r="O1946" s="504"/>
    </row>
    <row r="1947" ht="53.25" customHeight="1">
      <c r="O1947" s="504"/>
    </row>
    <row r="1948" ht="53.25" customHeight="1">
      <c r="O1948" s="504"/>
    </row>
    <row r="1949" ht="53.25" customHeight="1">
      <c r="O1949" s="504"/>
    </row>
    <row r="1950" ht="53.25" customHeight="1">
      <c r="O1950" s="504"/>
    </row>
    <row r="1951" ht="53.25" customHeight="1">
      <c r="O1951" s="504"/>
    </row>
    <row r="1952" ht="53.25" customHeight="1">
      <c r="O1952" s="504"/>
    </row>
    <row r="1953" ht="53.25" customHeight="1">
      <c r="O1953" s="504"/>
    </row>
    <row r="1954" ht="53.25" customHeight="1">
      <c r="O1954" s="504"/>
    </row>
    <row r="1955" ht="53.25" customHeight="1">
      <c r="O1955" s="504"/>
    </row>
    <row r="1956" ht="53.25" customHeight="1">
      <c r="O1956" s="504"/>
    </row>
    <row r="1957" ht="53.25" customHeight="1">
      <c r="O1957" s="504"/>
    </row>
    <row r="1958" ht="53.25" customHeight="1">
      <c r="O1958" s="504"/>
    </row>
    <row r="1959" ht="53.25" customHeight="1">
      <c r="O1959" s="504"/>
    </row>
    <row r="1960" ht="53.25" customHeight="1">
      <c r="O1960" s="504"/>
    </row>
    <row r="1961" ht="53.25" customHeight="1">
      <c r="O1961" s="504"/>
    </row>
    <row r="1962" ht="53.25" customHeight="1">
      <c r="O1962" s="504"/>
    </row>
    <row r="1963" ht="53.25" customHeight="1">
      <c r="O1963" s="504"/>
    </row>
    <row r="1964" ht="53.25" customHeight="1">
      <c r="O1964" s="504"/>
    </row>
    <row r="1965" ht="53.25" customHeight="1">
      <c r="O1965" s="504"/>
    </row>
    <row r="1966" ht="53.25" customHeight="1">
      <c r="O1966" s="504"/>
    </row>
    <row r="1967" ht="53.25" customHeight="1">
      <c r="O1967" s="504"/>
    </row>
    <row r="1968" ht="53.25" customHeight="1">
      <c r="O1968" s="504"/>
    </row>
    <row r="1969" ht="53.25" customHeight="1">
      <c r="O1969" s="504"/>
    </row>
    <row r="1970" ht="53.25" customHeight="1">
      <c r="O1970" s="504"/>
    </row>
    <row r="1971" ht="53.25" customHeight="1">
      <c r="O1971" s="504"/>
    </row>
    <row r="1972" ht="53.25" customHeight="1">
      <c r="O1972" s="504"/>
    </row>
    <row r="1973" ht="53.25" customHeight="1">
      <c r="O1973" s="504"/>
    </row>
    <row r="1974" ht="53.25" customHeight="1">
      <c r="O1974" s="504"/>
    </row>
    <row r="1975" ht="53.25" customHeight="1">
      <c r="O1975" s="504"/>
    </row>
    <row r="1976" ht="53.25" customHeight="1">
      <c r="O1976" s="504"/>
    </row>
    <row r="1977" ht="53.25" customHeight="1">
      <c r="O1977" s="504"/>
    </row>
    <row r="1978" ht="53.25" customHeight="1">
      <c r="O1978" s="504"/>
    </row>
    <row r="1979" ht="53.25" customHeight="1">
      <c r="O1979" s="504"/>
    </row>
    <row r="1980" ht="53.25" customHeight="1">
      <c r="O1980" s="504"/>
    </row>
    <row r="1981" ht="53.25" customHeight="1">
      <c r="O1981" s="504"/>
    </row>
    <row r="1982" ht="53.25" customHeight="1">
      <c r="O1982" s="504"/>
    </row>
    <row r="1983" ht="53.25" customHeight="1">
      <c r="O1983" s="504"/>
    </row>
    <row r="1984" ht="53.25" customHeight="1">
      <c r="O1984" s="504"/>
    </row>
    <row r="1985" ht="53.25" customHeight="1">
      <c r="O1985" s="504"/>
    </row>
    <row r="1986" ht="53.25" customHeight="1">
      <c r="O1986" s="504"/>
    </row>
    <row r="1987" ht="53.25" customHeight="1">
      <c r="O1987" s="504"/>
    </row>
    <row r="1988" ht="53.25" customHeight="1">
      <c r="O1988" s="504"/>
    </row>
    <row r="1989" ht="53.25" customHeight="1">
      <c r="O1989" s="504"/>
    </row>
    <row r="1990" ht="53.25" customHeight="1">
      <c r="O1990" s="504"/>
    </row>
    <row r="1991" ht="53.25" customHeight="1">
      <c r="O1991" s="504"/>
    </row>
    <row r="1992" ht="53.25" customHeight="1">
      <c r="O1992" s="504"/>
    </row>
    <row r="1993" ht="53.25" customHeight="1">
      <c r="O1993" s="504"/>
    </row>
    <row r="1994" ht="53.25" customHeight="1">
      <c r="O1994" s="504"/>
    </row>
    <row r="1995" ht="53.25" customHeight="1">
      <c r="O1995" s="504"/>
    </row>
    <row r="1996" ht="53.25" customHeight="1">
      <c r="O1996" s="504"/>
    </row>
    <row r="1997" ht="53.25" customHeight="1">
      <c r="O1997" s="504"/>
    </row>
    <row r="1998" ht="53.25" customHeight="1">
      <c r="O1998" s="504"/>
    </row>
    <row r="1999" ht="53.25" customHeight="1">
      <c r="O1999" s="504"/>
    </row>
    <row r="2000" ht="53.25" customHeight="1">
      <c r="O2000" s="504"/>
    </row>
    <row r="2001" ht="53.25" customHeight="1">
      <c r="O2001" s="504"/>
    </row>
    <row r="2002" ht="53.25" customHeight="1">
      <c r="O2002" s="504"/>
    </row>
    <row r="2003" ht="53.25" customHeight="1">
      <c r="O2003" s="504"/>
    </row>
    <row r="2004" ht="53.25" customHeight="1">
      <c r="O2004" s="504"/>
    </row>
    <row r="2005" ht="53.25" customHeight="1">
      <c r="O2005" s="504"/>
    </row>
    <row r="2006" ht="53.25" customHeight="1">
      <c r="O2006" s="504"/>
    </row>
    <row r="2007" ht="53.25" customHeight="1">
      <c r="O2007" s="504"/>
    </row>
    <row r="2008" ht="53.25" customHeight="1">
      <c r="O2008" s="504"/>
    </row>
    <row r="2009" ht="53.25" customHeight="1">
      <c r="O2009" s="504"/>
    </row>
    <row r="2010" ht="53.25" customHeight="1">
      <c r="O2010" s="504"/>
    </row>
    <row r="2011" ht="53.25" customHeight="1">
      <c r="O2011" s="504"/>
    </row>
    <row r="2012" ht="53.25" customHeight="1">
      <c r="O2012" s="504"/>
    </row>
    <row r="2013" ht="53.25" customHeight="1">
      <c r="O2013" s="504"/>
    </row>
    <row r="2014" ht="53.25" customHeight="1">
      <c r="O2014" s="504"/>
    </row>
    <row r="2015" ht="53.25" customHeight="1">
      <c r="O2015" s="504"/>
    </row>
    <row r="2016" ht="53.25" customHeight="1">
      <c r="O2016" s="504"/>
    </row>
    <row r="2017" ht="53.25" customHeight="1">
      <c r="O2017" s="504"/>
    </row>
    <row r="2018" ht="53.25" customHeight="1">
      <c r="O2018" s="504"/>
    </row>
    <row r="2019" ht="53.25" customHeight="1">
      <c r="O2019" s="504"/>
    </row>
    <row r="2020" ht="53.25" customHeight="1">
      <c r="O2020" s="504"/>
    </row>
    <row r="2021" ht="53.25" customHeight="1">
      <c r="O2021" s="504"/>
    </row>
    <row r="2022" ht="53.25" customHeight="1">
      <c r="O2022" s="504"/>
    </row>
    <row r="2023" ht="53.25" customHeight="1">
      <c r="O2023" s="504"/>
    </row>
    <row r="2024" ht="53.25" customHeight="1">
      <c r="O2024" s="504"/>
    </row>
    <row r="2025" ht="53.25" customHeight="1">
      <c r="O2025" s="504"/>
    </row>
    <row r="2026" ht="53.25" customHeight="1">
      <c r="O2026" s="504"/>
    </row>
    <row r="2027" ht="53.25" customHeight="1">
      <c r="O2027" s="504"/>
    </row>
    <row r="2028" ht="53.25" customHeight="1">
      <c r="O2028" s="504"/>
    </row>
    <row r="2029" ht="53.25" customHeight="1">
      <c r="O2029" s="504"/>
    </row>
    <row r="2030" ht="53.25" customHeight="1">
      <c r="O2030" s="504"/>
    </row>
    <row r="2031" ht="53.25" customHeight="1">
      <c r="O2031" s="504"/>
    </row>
    <row r="2032" ht="53.25" customHeight="1">
      <c r="O2032" s="504"/>
    </row>
    <row r="2033" ht="53.25" customHeight="1">
      <c r="O2033" s="504"/>
    </row>
    <row r="2034" ht="53.25" customHeight="1">
      <c r="O2034" s="504"/>
    </row>
    <row r="2035" ht="53.25" customHeight="1">
      <c r="O2035" s="504"/>
    </row>
    <row r="2036" ht="53.25" customHeight="1">
      <c r="O2036" s="504"/>
    </row>
    <row r="2037" ht="53.25" customHeight="1">
      <c r="O2037" s="504"/>
    </row>
    <row r="2038" ht="53.25" customHeight="1">
      <c r="O2038" s="504"/>
    </row>
    <row r="2039" ht="53.25" customHeight="1">
      <c r="O2039" s="504"/>
    </row>
    <row r="2040" ht="53.25" customHeight="1">
      <c r="O2040" s="504"/>
    </row>
    <row r="2041" ht="53.25" customHeight="1">
      <c r="O2041" s="504"/>
    </row>
    <row r="2042" ht="53.25" customHeight="1">
      <c r="O2042" s="504"/>
    </row>
    <row r="2043" ht="53.25" customHeight="1">
      <c r="O2043" s="504"/>
    </row>
    <row r="2044" ht="53.25" customHeight="1">
      <c r="O2044" s="504"/>
    </row>
    <row r="2045" ht="53.25" customHeight="1">
      <c r="O2045" s="504"/>
    </row>
    <row r="2046" ht="53.25" customHeight="1">
      <c r="O2046" s="504"/>
    </row>
    <row r="2047" ht="53.25" customHeight="1">
      <c r="O2047" s="504"/>
    </row>
    <row r="2048" ht="53.25" customHeight="1">
      <c r="O2048" s="504"/>
    </row>
    <row r="2049" ht="53.25" customHeight="1">
      <c r="O2049" s="504"/>
    </row>
    <row r="2050" ht="53.25" customHeight="1">
      <c r="O2050" s="504"/>
    </row>
    <row r="2051" ht="53.25" customHeight="1">
      <c r="O2051" s="504"/>
    </row>
    <row r="2052" ht="53.25" customHeight="1">
      <c r="O2052" s="504"/>
    </row>
    <row r="2053" ht="53.25" customHeight="1">
      <c r="O2053" s="504"/>
    </row>
    <row r="2054" ht="53.25" customHeight="1">
      <c r="O2054" s="504"/>
    </row>
    <row r="2055" ht="53.25" customHeight="1">
      <c r="O2055" s="504"/>
    </row>
    <row r="2056" ht="53.25" customHeight="1">
      <c r="O2056" s="504"/>
    </row>
    <row r="2057" ht="53.25" customHeight="1">
      <c r="O2057" s="504"/>
    </row>
    <row r="2058" ht="53.25" customHeight="1">
      <c r="O2058" s="504"/>
    </row>
    <row r="2059" ht="53.25" customHeight="1">
      <c r="O2059" s="504"/>
    </row>
    <row r="2060" ht="53.25" customHeight="1">
      <c r="O2060" s="504"/>
    </row>
    <row r="2061" ht="53.25" customHeight="1">
      <c r="O2061" s="504"/>
    </row>
    <row r="2062" ht="53.25" customHeight="1">
      <c r="O2062" s="504"/>
    </row>
    <row r="2063" ht="53.25" customHeight="1">
      <c r="O2063" s="504"/>
    </row>
    <row r="2064" ht="53.25" customHeight="1">
      <c r="O2064" s="504"/>
    </row>
    <row r="2065" ht="53.25" customHeight="1">
      <c r="O2065" s="504"/>
    </row>
    <row r="2066" ht="53.25" customHeight="1">
      <c r="O2066" s="504"/>
    </row>
    <row r="2067" ht="53.25" customHeight="1">
      <c r="O2067" s="504"/>
    </row>
    <row r="2068" ht="53.25" customHeight="1">
      <c r="O2068" s="504"/>
    </row>
    <row r="2069" ht="53.25" customHeight="1">
      <c r="O2069" s="504"/>
    </row>
    <row r="2070" ht="53.25" customHeight="1">
      <c r="O2070" s="504"/>
    </row>
    <row r="2071" ht="53.25" customHeight="1">
      <c r="O2071" s="504"/>
    </row>
    <row r="2072" ht="53.25" customHeight="1">
      <c r="O2072" s="504"/>
    </row>
    <row r="2073" ht="53.25" customHeight="1">
      <c r="O2073" s="504"/>
    </row>
    <row r="2074" ht="53.25" customHeight="1">
      <c r="O2074" s="504"/>
    </row>
    <row r="2075" ht="53.25" customHeight="1">
      <c r="O2075" s="504"/>
    </row>
    <row r="2076" ht="53.25" customHeight="1">
      <c r="O2076" s="504"/>
    </row>
    <row r="2077" ht="53.25" customHeight="1">
      <c r="O2077" s="504"/>
    </row>
    <row r="2078" ht="53.25" customHeight="1">
      <c r="O2078" s="504"/>
    </row>
    <row r="2079" ht="53.25" customHeight="1">
      <c r="O2079" s="504"/>
    </row>
    <row r="2080" ht="53.25" customHeight="1">
      <c r="O2080" s="504"/>
    </row>
    <row r="2081" ht="53.25" customHeight="1">
      <c r="O2081" s="504"/>
    </row>
    <row r="2082" ht="53.25" customHeight="1">
      <c r="O2082" s="504"/>
    </row>
    <row r="2083" ht="53.25" customHeight="1">
      <c r="O2083" s="504"/>
    </row>
    <row r="2084" ht="53.25" customHeight="1">
      <c r="O2084" s="504"/>
    </row>
    <row r="2085" ht="53.25" customHeight="1">
      <c r="O2085" s="504"/>
    </row>
    <row r="2086" ht="53.25" customHeight="1">
      <c r="O2086" s="504"/>
    </row>
    <row r="2087" ht="53.25" customHeight="1">
      <c r="O2087" s="504"/>
    </row>
    <row r="2088" ht="53.25" customHeight="1">
      <c r="O2088" s="504"/>
    </row>
    <row r="2089" ht="53.25" customHeight="1">
      <c r="O2089" s="504"/>
    </row>
    <row r="2090" ht="53.25" customHeight="1">
      <c r="O2090" s="504"/>
    </row>
    <row r="2091" ht="53.25" customHeight="1">
      <c r="O2091" s="504"/>
    </row>
    <row r="2092" ht="53.25" customHeight="1">
      <c r="O2092" s="504"/>
    </row>
    <row r="2093" ht="53.25" customHeight="1">
      <c r="O2093" s="504"/>
    </row>
    <row r="2094" ht="53.25" customHeight="1">
      <c r="O2094" s="504"/>
    </row>
    <row r="2095" ht="53.25" customHeight="1">
      <c r="O2095" s="504"/>
    </row>
    <row r="2096" ht="53.25" customHeight="1">
      <c r="O2096" s="504"/>
    </row>
    <row r="2097" ht="53.25" customHeight="1">
      <c r="O2097" s="504"/>
    </row>
    <row r="2098" ht="53.25" customHeight="1">
      <c r="O2098" s="504"/>
    </row>
    <row r="2099" ht="53.25" customHeight="1">
      <c r="O2099" s="504"/>
    </row>
    <row r="2100" ht="53.25" customHeight="1">
      <c r="O2100" s="504"/>
    </row>
    <row r="2101" ht="53.25" customHeight="1">
      <c r="O2101" s="504"/>
    </row>
    <row r="2102" ht="53.25" customHeight="1">
      <c r="O2102" s="504"/>
    </row>
    <row r="2103" ht="53.25" customHeight="1">
      <c r="O2103" s="504"/>
    </row>
    <row r="2104" ht="53.25" customHeight="1">
      <c r="O2104" s="504"/>
    </row>
    <row r="2105" ht="53.25" customHeight="1">
      <c r="O2105" s="504"/>
    </row>
    <row r="2106" ht="53.25" customHeight="1">
      <c r="O2106" s="504"/>
    </row>
    <row r="2107" ht="53.25" customHeight="1">
      <c r="O2107" s="504"/>
    </row>
    <row r="2108" ht="53.25" customHeight="1">
      <c r="O2108" s="504"/>
    </row>
    <row r="2109" ht="53.25" customHeight="1">
      <c r="O2109" s="504"/>
    </row>
    <row r="2110" ht="53.25" customHeight="1">
      <c r="O2110" s="504"/>
    </row>
    <row r="2111" ht="53.25" customHeight="1">
      <c r="O2111" s="504"/>
    </row>
    <row r="2112" ht="53.25" customHeight="1">
      <c r="O2112" s="504"/>
    </row>
    <row r="2113" ht="53.25" customHeight="1">
      <c r="O2113" s="504"/>
    </row>
    <row r="2114" ht="53.25" customHeight="1">
      <c r="O2114" s="504"/>
    </row>
    <row r="2115" ht="53.25" customHeight="1">
      <c r="O2115" s="504"/>
    </row>
    <row r="2116" ht="53.25" customHeight="1">
      <c r="O2116" s="504"/>
    </row>
    <row r="2117" ht="53.25" customHeight="1">
      <c r="O2117" s="504"/>
    </row>
    <row r="2118" ht="53.25" customHeight="1">
      <c r="O2118" s="504"/>
    </row>
    <row r="2119" ht="53.25" customHeight="1">
      <c r="O2119" s="504"/>
    </row>
    <row r="2120" ht="53.25" customHeight="1">
      <c r="O2120" s="504"/>
    </row>
    <row r="2121" ht="53.25" customHeight="1">
      <c r="O2121" s="504"/>
    </row>
    <row r="2122" ht="53.25" customHeight="1">
      <c r="O2122" s="504"/>
    </row>
    <row r="2123" ht="53.25" customHeight="1">
      <c r="O2123" s="504"/>
    </row>
    <row r="2124" ht="53.25" customHeight="1">
      <c r="O2124" s="504"/>
    </row>
    <row r="2125" ht="53.25" customHeight="1">
      <c r="O2125" s="504"/>
    </row>
    <row r="2126" ht="53.25" customHeight="1">
      <c r="O2126" s="504"/>
    </row>
    <row r="2127" ht="53.25" customHeight="1">
      <c r="O2127" s="504"/>
    </row>
    <row r="2128" ht="53.25" customHeight="1">
      <c r="O2128" s="504"/>
    </row>
    <row r="2129" ht="53.25" customHeight="1">
      <c r="O2129" s="504"/>
    </row>
    <row r="2130" ht="53.25" customHeight="1">
      <c r="O2130" s="504"/>
    </row>
    <row r="2131" ht="53.25" customHeight="1">
      <c r="O2131" s="504"/>
    </row>
    <row r="2132" ht="53.25" customHeight="1">
      <c r="O2132" s="504"/>
    </row>
    <row r="2133" ht="53.25" customHeight="1">
      <c r="O2133" s="504"/>
    </row>
    <row r="2134" ht="53.25" customHeight="1">
      <c r="O2134" s="504"/>
    </row>
    <row r="2135" ht="53.25" customHeight="1">
      <c r="O2135" s="504"/>
    </row>
    <row r="2136" ht="53.25" customHeight="1">
      <c r="O2136" s="504"/>
    </row>
    <row r="2137" ht="53.25" customHeight="1">
      <c r="O2137" s="504"/>
    </row>
    <row r="2138" ht="53.25" customHeight="1">
      <c r="O2138" s="504"/>
    </row>
    <row r="2139" ht="53.25" customHeight="1">
      <c r="O2139" s="504"/>
    </row>
    <row r="2140" ht="53.25" customHeight="1">
      <c r="O2140" s="504"/>
    </row>
    <row r="2141" ht="53.25" customHeight="1">
      <c r="O2141" s="504"/>
    </row>
    <row r="2142" ht="53.25" customHeight="1">
      <c r="O2142" s="504"/>
    </row>
    <row r="2143" ht="53.25" customHeight="1">
      <c r="O2143" s="504"/>
    </row>
    <row r="2144" ht="53.25" customHeight="1">
      <c r="O2144" s="504"/>
    </row>
    <row r="2145" ht="53.25" customHeight="1">
      <c r="O2145" s="504"/>
    </row>
    <row r="2146" ht="53.25" customHeight="1">
      <c r="O2146" s="504"/>
    </row>
    <row r="2147" ht="53.25" customHeight="1">
      <c r="O2147" s="504"/>
    </row>
    <row r="2148" ht="53.25" customHeight="1">
      <c r="O2148" s="504"/>
    </row>
    <row r="2149" ht="53.25" customHeight="1">
      <c r="O2149" s="504"/>
    </row>
    <row r="2150" ht="53.25" customHeight="1">
      <c r="O2150" s="504"/>
    </row>
    <row r="2151" ht="53.25" customHeight="1">
      <c r="O2151" s="504"/>
    </row>
    <row r="2152" ht="53.25" customHeight="1">
      <c r="O2152" s="504"/>
    </row>
    <row r="2153" ht="53.25" customHeight="1">
      <c r="O2153" s="504"/>
    </row>
    <row r="2154" ht="53.25" customHeight="1">
      <c r="O2154" s="504"/>
    </row>
    <row r="2155" ht="53.25" customHeight="1">
      <c r="O2155" s="504"/>
    </row>
    <row r="2156" ht="53.25" customHeight="1">
      <c r="O2156" s="504"/>
    </row>
    <row r="2157" ht="53.25" customHeight="1">
      <c r="O2157" s="504"/>
    </row>
    <row r="2158" ht="53.25" customHeight="1">
      <c r="O2158" s="504"/>
    </row>
    <row r="2159" ht="53.25" customHeight="1">
      <c r="O2159" s="504"/>
    </row>
    <row r="2160" ht="53.25" customHeight="1">
      <c r="O2160" s="504"/>
    </row>
    <row r="2161" ht="53.25" customHeight="1">
      <c r="O2161" s="504"/>
    </row>
    <row r="2162" ht="53.25" customHeight="1">
      <c r="O2162" s="504"/>
    </row>
    <row r="2163" ht="53.25" customHeight="1">
      <c r="O2163" s="504"/>
    </row>
    <row r="2164" ht="53.25" customHeight="1">
      <c r="O2164" s="504"/>
    </row>
    <row r="2165" ht="53.25" customHeight="1">
      <c r="O2165" s="504"/>
    </row>
    <row r="2166" ht="53.25" customHeight="1">
      <c r="O2166" s="504"/>
    </row>
    <row r="2167" ht="53.25" customHeight="1">
      <c r="O2167" s="504"/>
    </row>
    <row r="2168" ht="53.25" customHeight="1">
      <c r="O2168" s="504"/>
    </row>
    <row r="2169" ht="53.25" customHeight="1">
      <c r="O2169" s="504"/>
    </row>
    <row r="2170" ht="53.25" customHeight="1">
      <c r="O2170" s="504"/>
    </row>
    <row r="2171" ht="53.25" customHeight="1">
      <c r="O2171" s="504"/>
    </row>
    <row r="2172" ht="53.25" customHeight="1">
      <c r="O2172" s="504"/>
    </row>
    <row r="2173" ht="53.25" customHeight="1">
      <c r="O2173" s="504"/>
    </row>
    <row r="2174" ht="53.25" customHeight="1">
      <c r="O2174" s="504"/>
    </row>
    <row r="2175" ht="53.25" customHeight="1">
      <c r="O2175" s="504"/>
    </row>
    <row r="2176" ht="53.25" customHeight="1">
      <c r="O2176" s="504"/>
    </row>
    <row r="2177" ht="53.25" customHeight="1">
      <c r="O2177" s="504"/>
    </row>
    <row r="2178" ht="53.25" customHeight="1">
      <c r="O2178" s="504"/>
    </row>
    <row r="2179" ht="53.25" customHeight="1">
      <c r="O2179" s="504"/>
    </row>
    <row r="2180" ht="53.25" customHeight="1">
      <c r="O2180" s="504"/>
    </row>
    <row r="2181" ht="53.25" customHeight="1">
      <c r="O2181" s="504"/>
    </row>
    <row r="2182" ht="53.25" customHeight="1">
      <c r="O2182" s="504"/>
    </row>
    <row r="2183" ht="53.25" customHeight="1">
      <c r="O2183" s="504"/>
    </row>
    <row r="2184" ht="53.25" customHeight="1">
      <c r="O2184" s="504"/>
    </row>
    <row r="2185" ht="53.25" customHeight="1">
      <c r="O2185" s="504"/>
    </row>
    <row r="2186" ht="53.25" customHeight="1">
      <c r="O2186" s="504"/>
    </row>
    <row r="2187" ht="53.25" customHeight="1">
      <c r="O2187" s="504"/>
    </row>
    <row r="2188" ht="53.25" customHeight="1">
      <c r="O2188" s="504"/>
    </row>
    <row r="2189" ht="53.25" customHeight="1">
      <c r="O2189" s="504"/>
    </row>
    <row r="2190" ht="53.25" customHeight="1">
      <c r="O2190" s="504"/>
    </row>
    <row r="2191" ht="53.25" customHeight="1">
      <c r="O2191" s="504"/>
    </row>
    <row r="2192" ht="53.25" customHeight="1">
      <c r="O2192" s="504"/>
    </row>
    <row r="2193" ht="53.25" customHeight="1">
      <c r="O2193" s="504"/>
    </row>
    <row r="2194" ht="53.25" customHeight="1">
      <c r="O2194" s="504"/>
    </row>
    <row r="2195" ht="53.25" customHeight="1">
      <c r="O2195" s="504"/>
    </row>
    <row r="2196" ht="53.25" customHeight="1">
      <c r="O2196" s="504"/>
    </row>
    <row r="2197" ht="53.25" customHeight="1">
      <c r="O2197" s="504"/>
    </row>
    <row r="2198" ht="53.25" customHeight="1">
      <c r="O2198" s="504"/>
    </row>
    <row r="2199" ht="53.25" customHeight="1">
      <c r="O2199" s="504"/>
    </row>
    <row r="2200" ht="53.25" customHeight="1">
      <c r="O2200" s="504"/>
    </row>
    <row r="2201" ht="53.25" customHeight="1">
      <c r="O2201" s="504"/>
    </row>
    <row r="2202" ht="53.25" customHeight="1">
      <c r="O2202" s="504"/>
    </row>
    <row r="2203" ht="53.25" customHeight="1">
      <c r="O2203" s="504"/>
    </row>
    <row r="2204" ht="53.25" customHeight="1">
      <c r="O2204" s="504"/>
    </row>
    <row r="2205" ht="53.25" customHeight="1">
      <c r="O2205" s="504"/>
    </row>
    <row r="2206" ht="53.25" customHeight="1">
      <c r="O2206" s="504"/>
    </row>
    <row r="2207" ht="53.25" customHeight="1">
      <c r="O2207" s="504"/>
    </row>
    <row r="2208" ht="53.25" customHeight="1">
      <c r="O2208" s="504"/>
    </row>
    <row r="2209" ht="53.25" customHeight="1">
      <c r="O2209" s="504"/>
    </row>
    <row r="2210" ht="53.25" customHeight="1">
      <c r="O2210" s="504"/>
    </row>
    <row r="2211" ht="53.25" customHeight="1">
      <c r="O2211" s="504"/>
    </row>
    <row r="2212" ht="53.25" customHeight="1">
      <c r="O2212" s="504"/>
    </row>
    <row r="2213" ht="53.25" customHeight="1">
      <c r="O2213" s="504"/>
    </row>
    <row r="2214" ht="53.25" customHeight="1">
      <c r="O2214" s="504"/>
    </row>
    <row r="2215" ht="53.25" customHeight="1">
      <c r="O2215" s="504"/>
    </row>
    <row r="2216" ht="53.25" customHeight="1">
      <c r="O2216" s="504"/>
    </row>
    <row r="2217" ht="53.25" customHeight="1">
      <c r="O2217" s="504"/>
    </row>
    <row r="2218" ht="53.25" customHeight="1">
      <c r="O2218" s="504"/>
    </row>
    <row r="2219" ht="53.25" customHeight="1">
      <c r="O2219" s="504"/>
    </row>
    <row r="2220" ht="53.25" customHeight="1">
      <c r="O2220" s="504"/>
    </row>
    <row r="2221" ht="53.25" customHeight="1">
      <c r="O2221" s="504"/>
    </row>
    <row r="2222" ht="53.25" customHeight="1">
      <c r="O2222" s="504"/>
    </row>
    <row r="2223" ht="53.25" customHeight="1">
      <c r="O2223" s="504"/>
    </row>
    <row r="2224" ht="53.25" customHeight="1">
      <c r="O2224" s="504"/>
    </row>
    <row r="2225" ht="53.25" customHeight="1">
      <c r="O2225" s="504"/>
    </row>
    <row r="2226" ht="53.25" customHeight="1">
      <c r="O2226" s="504"/>
    </row>
    <row r="2227" ht="53.25" customHeight="1">
      <c r="O2227" s="504"/>
    </row>
    <row r="2228" ht="53.25" customHeight="1">
      <c r="O2228" s="504"/>
    </row>
    <row r="2229" ht="53.25" customHeight="1">
      <c r="O2229" s="504"/>
    </row>
    <row r="2230" ht="53.25" customHeight="1">
      <c r="O2230" s="504"/>
    </row>
    <row r="2231" ht="53.25" customHeight="1">
      <c r="O2231" s="504"/>
    </row>
    <row r="2232" ht="53.25" customHeight="1">
      <c r="O2232" s="504"/>
    </row>
    <row r="2233" ht="53.25" customHeight="1">
      <c r="O2233" s="504"/>
    </row>
    <row r="2234" ht="53.25" customHeight="1">
      <c r="O2234" s="504"/>
    </row>
    <row r="2235" ht="53.25" customHeight="1">
      <c r="O2235" s="504"/>
    </row>
    <row r="2236" ht="53.25" customHeight="1">
      <c r="O2236" s="504"/>
    </row>
    <row r="2237" ht="53.25" customHeight="1">
      <c r="O2237" s="504"/>
    </row>
    <row r="2238" ht="53.25" customHeight="1">
      <c r="O2238" s="504"/>
    </row>
    <row r="2239" ht="53.25" customHeight="1">
      <c r="O2239" s="504"/>
    </row>
    <row r="2240" ht="53.25" customHeight="1">
      <c r="O2240" s="504"/>
    </row>
    <row r="2241" ht="53.25" customHeight="1">
      <c r="O2241" s="504"/>
    </row>
    <row r="2242" ht="53.25" customHeight="1">
      <c r="O2242" s="504"/>
    </row>
    <row r="2243" ht="53.25" customHeight="1">
      <c r="O2243" s="504"/>
    </row>
    <row r="2244" ht="53.25" customHeight="1">
      <c r="O2244" s="504"/>
    </row>
    <row r="2245" ht="53.25" customHeight="1">
      <c r="O2245" s="504"/>
    </row>
    <row r="2246" ht="53.25" customHeight="1">
      <c r="O2246" s="504"/>
    </row>
    <row r="2247" ht="53.25" customHeight="1">
      <c r="O2247" s="504"/>
    </row>
    <row r="2248" ht="53.25" customHeight="1">
      <c r="O2248" s="504"/>
    </row>
    <row r="2249" ht="53.25" customHeight="1">
      <c r="O2249" s="504"/>
    </row>
    <row r="2250" ht="53.25" customHeight="1">
      <c r="O2250" s="504"/>
    </row>
    <row r="2251" ht="53.25" customHeight="1">
      <c r="O2251" s="504"/>
    </row>
    <row r="2252" ht="53.25" customHeight="1">
      <c r="O2252" s="504"/>
    </row>
    <row r="2253" ht="53.25" customHeight="1">
      <c r="O2253" s="504"/>
    </row>
    <row r="2254" ht="53.25" customHeight="1">
      <c r="O2254" s="504"/>
    </row>
    <row r="2255" ht="53.25" customHeight="1">
      <c r="O2255" s="504"/>
    </row>
    <row r="2256" ht="53.25" customHeight="1">
      <c r="O2256" s="504"/>
    </row>
    <row r="2257" ht="53.25" customHeight="1">
      <c r="O2257" s="504"/>
    </row>
    <row r="2258" ht="53.25" customHeight="1">
      <c r="O2258" s="504"/>
    </row>
    <row r="2259" ht="53.25" customHeight="1">
      <c r="O2259" s="504"/>
    </row>
    <row r="2260" ht="53.25" customHeight="1">
      <c r="O2260" s="504"/>
    </row>
    <row r="2261" ht="53.25" customHeight="1">
      <c r="O2261" s="504"/>
    </row>
    <row r="2262" ht="53.25" customHeight="1">
      <c r="O2262" s="504"/>
    </row>
    <row r="2263" ht="53.25" customHeight="1">
      <c r="O2263" s="504"/>
    </row>
    <row r="2264" ht="53.25" customHeight="1">
      <c r="O2264" s="504"/>
    </row>
    <row r="2265" ht="53.25" customHeight="1">
      <c r="O2265" s="504"/>
    </row>
    <row r="2266" ht="53.25" customHeight="1">
      <c r="O2266" s="504"/>
    </row>
    <row r="2267" ht="53.25" customHeight="1">
      <c r="O2267" s="504"/>
    </row>
    <row r="2268" ht="53.25" customHeight="1">
      <c r="O2268" s="504"/>
    </row>
    <row r="2269" ht="53.25" customHeight="1">
      <c r="O2269" s="504"/>
    </row>
    <row r="2270" ht="53.25" customHeight="1">
      <c r="O2270" s="504"/>
    </row>
    <row r="2271" ht="53.25" customHeight="1">
      <c r="O2271" s="504"/>
    </row>
    <row r="2272" ht="53.25" customHeight="1">
      <c r="O2272" s="504"/>
    </row>
    <row r="2273" ht="53.25" customHeight="1">
      <c r="O2273" s="504"/>
    </row>
    <row r="2274" ht="53.25" customHeight="1">
      <c r="O2274" s="504"/>
    </row>
    <row r="2275" ht="53.25" customHeight="1">
      <c r="O2275" s="504"/>
    </row>
    <row r="2276" ht="53.25" customHeight="1">
      <c r="O2276" s="504"/>
    </row>
    <row r="2277" ht="53.25" customHeight="1">
      <c r="O2277" s="504"/>
    </row>
    <row r="2278" ht="53.25" customHeight="1">
      <c r="O2278" s="504"/>
    </row>
    <row r="2279" ht="53.25" customHeight="1">
      <c r="O2279" s="504"/>
    </row>
    <row r="2280" ht="53.25" customHeight="1">
      <c r="O2280" s="504"/>
    </row>
    <row r="2281" ht="53.25" customHeight="1">
      <c r="O2281" s="504"/>
    </row>
    <row r="2282" ht="53.25" customHeight="1">
      <c r="O2282" s="504"/>
    </row>
    <row r="2283" ht="53.25" customHeight="1">
      <c r="O2283" s="504"/>
    </row>
    <row r="2284" ht="53.25" customHeight="1">
      <c r="O2284" s="504"/>
    </row>
    <row r="2285" ht="53.25" customHeight="1">
      <c r="O2285" s="504"/>
    </row>
    <row r="2286" ht="53.25" customHeight="1">
      <c r="O2286" s="504"/>
    </row>
    <row r="2287" ht="53.25" customHeight="1">
      <c r="O2287" s="504"/>
    </row>
    <row r="2288" ht="53.25" customHeight="1">
      <c r="O2288" s="504"/>
    </row>
    <row r="2289" ht="53.25" customHeight="1">
      <c r="O2289" s="504"/>
    </row>
    <row r="2290" ht="53.25" customHeight="1">
      <c r="O2290" s="504"/>
    </row>
    <row r="2291" ht="53.25" customHeight="1">
      <c r="O2291" s="504"/>
    </row>
    <row r="2292" ht="53.25" customHeight="1">
      <c r="O2292" s="504"/>
    </row>
    <row r="2293" ht="53.25" customHeight="1">
      <c r="O2293" s="504"/>
    </row>
    <row r="2294" ht="53.25" customHeight="1">
      <c r="O2294" s="504"/>
    </row>
    <row r="2295" ht="53.25" customHeight="1">
      <c r="O2295" s="504"/>
    </row>
    <row r="2296" ht="53.25" customHeight="1">
      <c r="O2296" s="504"/>
    </row>
    <row r="2297" ht="53.25" customHeight="1">
      <c r="O2297" s="504"/>
    </row>
    <row r="2298" ht="53.25" customHeight="1">
      <c r="O2298" s="504"/>
    </row>
    <row r="2299" ht="53.25" customHeight="1">
      <c r="O2299" s="504"/>
    </row>
    <row r="2300" ht="53.25" customHeight="1">
      <c r="O2300" s="504"/>
    </row>
    <row r="2301" ht="53.25" customHeight="1">
      <c r="O2301" s="504"/>
    </row>
    <row r="2302" ht="53.25" customHeight="1">
      <c r="O2302" s="504"/>
    </row>
    <row r="2303" ht="53.25" customHeight="1">
      <c r="O2303" s="504"/>
    </row>
    <row r="2304" ht="53.25" customHeight="1">
      <c r="O2304" s="504"/>
    </row>
    <row r="2305" ht="53.25" customHeight="1">
      <c r="O2305" s="504"/>
    </row>
    <row r="2306" ht="53.25" customHeight="1">
      <c r="O2306" s="504"/>
    </row>
    <row r="2307" ht="53.25" customHeight="1">
      <c r="O2307" s="504"/>
    </row>
    <row r="2308" ht="53.25" customHeight="1">
      <c r="O2308" s="504"/>
    </row>
    <row r="2309" ht="53.25" customHeight="1">
      <c r="O2309" s="504"/>
    </row>
    <row r="2310" ht="53.25" customHeight="1">
      <c r="O2310" s="504"/>
    </row>
    <row r="2311" ht="53.25" customHeight="1">
      <c r="O2311" s="504"/>
    </row>
    <row r="2312" ht="53.25" customHeight="1">
      <c r="O2312" s="504"/>
    </row>
    <row r="2313" ht="53.25" customHeight="1">
      <c r="O2313" s="504"/>
    </row>
    <row r="2314" ht="53.25" customHeight="1">
      <c r="O2314" s="504"/>
    </row>
    <row r="2315" ht="53.25" customHeight="1">
      <c r="O2315" s="504"/>
    </row>
    <row r="2316" ht="53.25" customHeight="1">
      <c r="O2316" s="504"/>
    </row>
    <row r="2317" ht="53.25" customHeight="1">
      <c r="O2317" s="504"/>
    </row>
    <row r="2318" ht="53.25" customHeight="1">
      <c r="O2318" s="504"/>
    </row>
    <row r="2319" ht="53.25" customHeight="1">
      <c r="O2319" s="504"/>
    </row>
    <row r="2320" ht="53.25" customHeight="1">
      <c r="O2320" s="504"/>
    </row>
    <row r="2321" ht="53.25" customHeight="1">
      <c r="O2321" s="504"/>
    </row>
    <row r="2322" ht="53.25" customHeight="1">
      <c r="O2322" s="504"/>
    </row>
    <row r="2323" ht="53.25" customHeight="1">
      <c r="O2323" s="504"/>
    </row>
    <row r="2324" ht="53.25" customHeight="1">
      <c r="O2324" s="504"/>
    </row>
    <row r="2325" ht="53.25" customHeight="1">
      <c r="O2325" s="504"/>
    </row>
    <row r="2326" ht="53.25" customHeight="1">
      <c r="O2326" s="504"/>
    </row>
    <row r="2327" ht="53.25" customHeight="1">
      <c r="O2327" s="504"/>
    </row>
    <row r="2328" ht="53.25" customHeight="1">
      <c r="O2328" s="504"/>
    </row>
    <row r="2329" ht="53.25" customHeight="1">
      <c r="O2329" s="504"/>
    </row>
    <row r="2330" ht="53.25" customHeight="1">
      <c r="O2330" s="504"/>
    </row>
    <row r="2331" ht="53.25" customHeight="1">
      <c r="O2331" s="504"/>
    </row>
    <row r="2332" ht="53.25" customHeight="1">
      <c r="O2332" s="504"/>
    </row>
    <row r="2333" ht="53.25" customHeight="1">
      <c r="O2333" s="504"/>
    </row>
    <row r="2334" ht="53.25" customHeight="1">
      <c r="O2334" s="504"/>
    </row>
    <row r="2335" ht="53.25" customHeight="1">
      <c r="O2335" s="504"/>
    </row>
    <row r="2336" ht="53.25" customHeight="1">
      <c r="O2336" s="504"/>
    </row>
    <row r="2337" ht="53.25" customHeight="1">
      <c r="O2337" s="504"/>
    </row>
    <row r="2338" ht="53.25" customHeight="1">
      <c r="O2338" s="504"/>
    </row>
    <row r="2339" ht="53.25" customHeight="1">
      <c r="O2339" s="504"/>
    </row>
    <row r="2340" ht="53.25" customHeight="1">
      <c r="O2340" s="504"/>
    </row>
    <row r="2341" ht="53.25" customHeight="1">
      <c r="O2341" s="504"/>
    </row>
    <row r="2342" ht="53.25" customHeight="1">
      <c r="O2342" s="504"/>
    </row>
    <row r="2343" ht="53.25" customHeight="1">
      <c r="O2343" s="504"/>
    </row>
    <row r="2344" ht="53.25" customHeight="1">
      <c r="O2344" s="504"/>
    </row>
    <row r="2345" ht="53.25" customHeight="1">
      <c r="O2345" s="504"/>
    </row>
    <row r="2346" ht="53.25" customHeight="1">
      <c r="O2346" s="504"/>
    </row>
    <row r="2347" ht="53.25" customHeight="1">
      <c r="O2347" s="504"/>
    </row>
    <row r="2348" ht="53.25" customHeight="1">
      <c r="O2348" s="504"/>
    </row>
    <row r="2349" ht="53.25" customHeight="1">
      <c r="O2349" s="504"/>
    </row>
    <row r="2350" ht="53.25" customHeight="1">
      <c r="O2350" s="504"/>
    </row>
    <row r="2351" ht="53.25" customHeight="1">
      <c r="O2351" s="504"/>
    </row>
    <row r="2352" ht="53.25" customHeight="1">
      <c r="O2352" s="504"/>
    </row>
    <row r="2353" ht="53.25" customHeight="1">
      <c r="O2353" s="504"/>
    </row>
    <row r="2354" ht="53.25" customHeight="1">
      <c r="O2354" s="504"/>
    </row>
    <row r="2355" ht="53.25" customHeight="1">
      <c r="O2355" s="504"/>
    </row>
    <row r="2356" ht="53.25" customHeight="1">
      <c r="O2356" s="504"/>
    </row>
    <row r="2357" ht="53.25" customHeight="1">
      <c r="O2357" s="504"/>
    </row>
    <row r="2358" ht="53.25" customHeight="1">
      <c r="O2358" s="504"/>
    </row>
    <row r="2359" ht="53.25" customHeight="1">
      <c r="O2359" s="504"/>
    </row>
    <row r="2360" ht="53.25" customHeight="1">
      <c r="O2360" s="504"/>
    </row>
    <row r="2361" ht="53.25" customHeight="1">
      <c r="O2361" s="504"/>
    </row>
    <row r="2362" ht="53.25" customHeight="1">
      <c r="O2362" s="504"/>
    </row>
    <row r="2363" ht="53.25" customHeight="1">
      <c r="O2363" s="504"/>
    </row>
    <row r="2364" ht="53.25" customHeight="1">
      <c r="O2364" s="504"/>
    </row>
    <row r="2365" ht="53.25" customHeight="1">
      <c r="O2365" s="504"/>
    </row>
    <row r="2366" ht="53.25" customHeight="1">
      <c r="O2366" s="504"/>
    </row>
    <row r="2367" ht="53.25" customHeight="1">
      <c r="O2367" s="504"/>
    </row>
    <row r="2368" ht="53.25" customHeight="1">
      <c r="O2368" s="504"/>
    </row>
    <row r="2369" ht="53.25" customHeight="1">
      <c r="O2369" s="504"/>
    </row>
    <row r="2370" ht="53.25" customHeight="1">
      <c r="O2370" s="504"/>
    </row>
    <row r="2371" ht="53.25" customHeight="1">
      <c r="O2371" s="504"/>
    </row>
    <row r="2372" ht="53.25" customHeight="1">
      <c r="O2372" s="504"/>
    </row>
    <row r="2373" ht="53.25" customHeight="1">
      <c r="O2373" s="504"/>
    </row>
    <row r="2374" ht="53.25" customHeight="1">
      <c r="O2374" s="504"/>
    </row>
    <row r="2375" ht="53.25" customHeight="1">
      <c r="O2375" s="504"/>
    </row>
    <row r="2376" ht="53.25" customHeight="1">
      <c r="O2376" s="504"/>
    </row>
    <row r="2377" ht="53.25" customHeight="1">
      <c r="O2377" s="504"/>
    </row>
    <row r="2378" ht="53.25" customHeight="1">
      <c r="O2378" s="504"/>
    </row>
    <row r="2379" ht="53.25" customHeight="1">
      <c r="O2379" s="504"/>
    </row>
    <row r="2380" ht="53.25" customHeight="1">
      <c r="O2380" s="504"/>
    </row>
    <row r="2381" ht="53.25" customHeight="1">
      <c r="O2381" s="504"/>
    </row>
    <row r="2382" ht="53.25" customHeight="1">
      <c r="O2382" s="504"/>
    </row>
    <row r="2383" ht="53.25" customHeight="1">
      <c r="O2383" s="504"/>
    </row>
    <row r="2384" ht="53.25" customHeight="1">
      <c r="O2384" s="504"/>
    </row>
    <row r="2385" ht="53.25" customHeight="1">
      <c r="O2385" s="504"/>
    </row>
    <row r="2386" ht="53.25" customHeight="1">
      <c r="O2386" s="504"/>
    </row>
    <row r="2387" ht="53.25" customHeight="1">
      <c r="O2387" s="504"/>
    </row>
    <row r="2388" ht="53.25" customHeight="1">
      <c r="O2388" s="504"/>
    </row>
    <row r="2389" ht="53.25" customHeight="1">
      <c r="O2389" s="504"/>
    </row>
    <row r="2390" ht="53.25" customHeight="1">
      <c r="O2390" s="504"/>
    </row>
    <row r="2391" ht="53.25" customHeight="1">
      <c r="O2391" s="504"/>
    </row>
    <row r="2392" ht="53.25" customHeight="1">
      <c r="O2392" s="504"/>
    </row>
    <row r="2393" ht="53.25" customHeight="1">
      <c r="O2393" s="504"/>
    </row>
    <row r="2394" ht="53.25" customHeight="1">
      <c r="O2394" s="504"/>
    </row>
    <row r="2395" ht="53.25" customHeight="1">
      <c r="O2395" s="504"/>
    </row>
    <row r="2396" ht="53.25" customHeight="1">
      <c r="O2396" s="504"/>
    </row>
    <row r="2397" ht="53.25" customHeight="1">
      <c r="O2397" s="504"/>
    </row>
    <row r="2398" ht="53.25" customHeight="1">
      <c r="O2398" s="504"/>
    </row>
    <row r="2399" ht="53.25" customHeight="1">
      <c r="O2399" s="504"/>
    </row>
    <row r="2400" ht="53.25" customHeight="1">
      <c r="O2400" s="504"/>
    </row>
    <row r="2401" ht="53.25" customHeight="1">
      <c r="O2401" s="504"/>
    </row>
    <row r="2402" ht="53.25" customHeight="1">
      <c r="O2402" s="504"/>
    </row>
    <row r="2403" ht="53.25" customHeight="1">
      <c r="O2403" s="504"/>
    </row>
    <row r="2404" ht="53.25" customHeight="1">
      <c r="O2404" s="504"/>
    </row>
    <row r="2405" ht="53.25" customHeight="1">
      <c r="O2405" s="504"/>
    </row>
    <row r="2406" ht="53.25" customHeight="1">
      <c r="O2406" s="504"/>
    </row>
    <row r="2407" ht="53.25" customHeight="1">
      <c r="O2407" s="504"/>
    </row>
    <row r="2408" ht="53.25" customHeight="1">
      <c r="O2408" s="504"/>
    </row>
    <row r="2409" ht="53.25" customHeight="1">
      <c r="O2409" s="504"/>
    </row>
    <row r="2410" ht="53.25" customHeight="1">
      <c r="O2410" s="504"/>
    </row>
    <row r="2411" ht="53.25" customHeight="1">
      <c r="O2411" s="504"/>
    </row>
    <row r="2412" ht="53.25" customHeight="1">
      <c r="O2412" s="504"/>
    </row>
    <row r="2413" ht="53.25" customHeight="1">
      <c r="O2413" s="504"/>
    </row>
    <row r="2414" ht="53.25" customHeight="1">
      <c r="O2414" s="504"/>
    </row>
    <row r="2415" ht="53.25" customHeight="1">
      <c r="O2415" s="504"/>
    </row>
    <row r="2416" ht="53.25" customHeight="1">
      <c r="O2416" s="504"/>
    </row>
    <row r="2417" ht="53.25" customHeight="1">
      <c r="O2417" s="504"/>
    </row>
    <row r="2418" ht="53.25" customHeight="1">
      <c r="O2418" s="504"/>
    </row>
    <row r="2419" ht="53.25" customHeight="1">
      <c r="O2419" s="504"/>
    </row>
    <row r="2420" ht="53.25" customHeight="1">
      <c r="O2420" s="504"/>
    </row>
    <row r="2421" ht="53.25" customHeight="1">
      <c r="O2421" s="504"/>
    </row>
    <row r="2422" ht="53.25" customHeight="1">
      <c r="O2422" s="504"/>
    </row>
    <row r="2423" ht="53.25" customHeight="1">
      <c r="O2423" s="504"/>
    </row>
    <row r="2424" ht="53.25" customHeight="1">
      <c r="O2424" s="504"/>
    </row>
    <row r="2425" ht="53.25" customHeight="1">
      <c r="O2425" s="504"/>
    </row>
    <row r="2426" ht="53.25" customHeight="1">
      <c r="O2426" s="504"/>
    </row>
    <row r="2427" ht="53.25" customHeight="1">
      <c r="O2427" s="504"/>
    </row>
    <row r="2428" ht="53.25" customHeight="1">
      <c r="O2428" s="504"/>
    </row>
    <row r="2429" ht="53.25" customHeight="1">
      <c r="O2429" s="504"/>
    </row>
    <row r="2430" ht="53.25" customHeight="1">
      <c r="O2430" s="504"/>
    </row>
    <row r="2431" ht="53.25" customHeight="1">
      <c r="O2431" s="504"/>
    </row>
    <row r="2432" ht="53.25" customHeight="1">
      <c r="O2432" s="504"/>
    </row>
    <row r="2433" ht="53.25" customHeight="1">
      <c r="O2433" s="504"/>
    </row>
    <row r="2434" ht="53.25" customHeight="1">
      <c r="O2434" s="504"/>
    </row>
    <row r="2435" ht="53.25" customHeight="1">
      <c r="O2435" s="504"/>
    </row>
    <row r="2436" ht="53.25" customHeight="1">
      <c r="O2436" s="504"/>
    </row>
    <row r="2437" ht="53.25" customHeight="1">
      <c r="O2437" s="504"/>
    </row>
    <row r="2438" ht="53.25" customHeight="1">
      <c r="O2438" s="504"/>
    </row>
    <row r="2439" ht="53.25" customHeight="1">
      <c r="O2439" s="504"/>
    </row>
    <row r="2440" ht="53.25" customHeight="1">
      <c r="O2440" s="504"/>
    </row>
    <row r="2441" ht="53.25" customHeight="1">
      <c r="O2441" s="504"/>
    </row>
    <row r="2442" ht="53.25" customHeight="1">
      <c r="O2442" s="504"/>
    </row>
    <row r="2443" ht="53.25" customHeight="1">
      <c r="O2443" s="504"/>
    </row>
    <row r="2444" ht="53.25" customHeight="1">
      <c r="O2444" s="504"/>
    </row>
    <row r="2445" ht="53.25" customHeight="1">
      <c r="O2445" s="504"/>
    </row>
    <row r="2446" ht="53.25" customHeight="1">
      <c r="O2446" s="504"/>
    </row>
    <row r="2447" ht="53.25" customHeight="1">
      <c r="O2447" s="504"/>
    </row>
    <row r="2448" ht="53.25" customHeight="1">
      <c r="O2448" s="504"/>
    </row>
    <row r="2449" ht="53.25" customHeight="1">
      <c r="O2449" s="504"/>
    </row>
    <row r="2450" ht="53.25" customHeight="1">
      <c r="O2450" s="504"/>
    </row>
    <row r="2451" ht="53.25" customHeight="1">
      <c r="O2451" s="504"/>
    </row>
    <row r="2452" ht="53.25" customHeight="1">
      <c r="O2452" s="504"/>
    </row>
    <row r="2453" ht="53.25" customHeight="1">
      <c r="O2453" s="504"/>
    </row>
    <row r="2454" ht="53.25" customHeight="1">
      <c r="O2454" s="504"/>
    </row>
    <row r="2455" ht="53.25" customHeight="1">
      <c r="O2455" s="504"/>
    </row>
    <row r="2456" ht="53.25" customHeight="1">
      <c r="O2456" s="504"/>
    </row>
    <row r="2457" ht="53.25" customHeight="1">
      <c r="O2457" s="504"/>
    </row>
    <row r="2458" ht="53.25" customHeight="1">
      <c r="O2458" s="504"/>
    </row>
    <row r="2459" ht="53.25" customHeight="1">
      <c r="O2459" s="504"/>
    </row>
    <row r="2460" ht="53.25" customHeight="1">
      <c r="O2460" s="504"/>
    </row>
    <row r="2461" ht="53.25" customHeight="1">
      <c r="O2461" s="504"/>
    </row>
    <row r="2462" ht="53.25" customHeight="1">
      <c r="O2462" s="504"/>
    </row>
    <row r="2463" ht="53.25" customHeight="1">
      <c r="O2463" s="504"/>
    </row>
    <row r="2464" ht="53.25" customHeight="1">
      <c r="O2464" s="504"/>
    </row>
    <row r="2465" ht="53.25" customHeight="1">
      <c r="O2465" s="504"/>
    </row>
    <row r="2466" ht="53.25" customHeight="1">
      <c r="O2466" s="504"/>
    </row>
    <row r="2467" ht="53.25" customHeight="1">
      <c r="O2467" s="504"/>
    </row>
    <row r="2468" ht="53.25" customHeight="1">
      <c r="O2468" s="504"/>
    </row>
    <row r="2469" ht="53.25" customHeight="1">
      <c r="O2469" s="504"/>
    </row>
    <row r="2470" ht="53.25" customHeight="1">
      <c r="O2470" s="504"/>
    </row>
    <row r="2471" ht="53.25" customHeight="1">
      <c r="O2471" s="504"/>
    </row>
    <row r="2472" ht="53.25" customHeight="1">
      <c r="O2472" s="504"/>
    </row>
    <row r="2473" ht="53.25" customHeight="1">
      <c r="O2473" s="504"/>
    </row>
    <row r="2474" ht="53.25" customHeight="1">
      <c r="O2474" s="504"/>
    </row>
    <row r="2475" ht="53.25" customHeight="1">
      <c r="O2475" s="504"/>
    </row>
    <row r="2476" ht="53.25" customHeight="1">
      <c r="O2476" s="504"/>
    </row>
    <row r="2477" ht="53.25" customHeight="1">
      <c r="O2477" s="504"/>
    </row>
    <row r="2478" ht="53.25" customHeight="1">
      <c r="O2478" s="504"/>
    </row>
    <row r="2479" ht="53.25" customHeight="1">
      <c r="O2479" s="504"/>
    </row>
    <row r="2480" ht="53.25" customHeight="1">
      <c r="O2480" s="504"/>
    </row>
    <row r="2481" ht="53.25" customHeight="1">
      <c r="O2481" s="504"/>
    </row>
    <row r="2482" ht="53.25" customHeight="1">
      <c r="O2482" s="504"/>
    </row>
    <row r="2483" ht="53.25" customHeight="1">
      <c r="O2483" s="504"/>
    </row>
    <row r="2484" ht="53.25" customHeight="1">
      <c r="O2484" s="504"/>
    </row>
    <row r="2485" ht="53.25" customHeight="1">
      <c r="O2485" s="504"/>
    </row>
    <row r="2486" ht="53.25" customHeight="1">
      <c r="O2486" s="504"/>
    </row>
    <row r="2487" ht="53.25" customHeight="1">
      <c r="O2487" s="504"/>
    </row>
    <row r="2488" ht="53.25" customHeight="1">
      <c r="O2488" s="504"/>
    </row>
    <row r="2489" ht="53.25" customHeight="1">
      <c r="O2489" s="504"/>
    </row>
    <row r="2490" ht="53.25" customHeight="1">
      <c r="O2490" s="504"/>
    </row>
    <row r="2491" ht="53.25" customHeight="1">
      <c r="O2491" s="504"/>
    </row>
    <row r="2492" ht="53.25" customHeight="1">
      <c r="O2492" s="504"/>
    </row>
    <row r="2493" ht="53.25" customHeight="1">
      <c r="O2493" s="504"/>
    </row>
    <row r="2494" ht="53.25" customHeight="1">
      <c r="O2494" s="504"/>
    </row>
    <row r="2495" ht="53.25" customHeight="1">
      <c r="O2495" s="504"/>
    </row>
    <row r="2496" ht="53.25" customHeight="1">
      <c r="O2496" s="504"/>
    </row>
    <row r="2497" ht="53.25" customHeight="1">
      <c r="O2497" s="504"/>
    </row>
    <row r="2498" ht="53.25" customHeight="1">
      <c r="O2498" s="504"/>
    </row>
    <row r="2499" ht="53.25" customHeight="1">
      <c r="O2499" s="504"/>
    </row>
    <row r="2500" ht="53.25" customHeight="1">
      <c r="O2500" s="504"/>
    </row>
    <row r="2501" ht="53.25" customHeight="1">
      <c r="O2501" s="504"/>
    </row>
    <row r="2502" ht="53.25" customHeight="1">
      <c r="O2502" s="504"/>
    </row>
    <row r="2503" ht="53.25" customHeight="1">
      <c r="O2503" s="504"/>
    </row>
    <row r="2504" ht="53.25" customHeight="1">
      <c r="O2504" s="504"/>
    </row>
    <row r="2505" ht="53.25" customHeight="1">
      <c r="O2505" s="504"/>
    </row>
    <row r="2506" ht="53.25" customHeight="1">
      <c r="O2506" s="504"/>
    </row>
    <row r="2507" ht="53.25" customHeight="1">
      <c r="O2507" s="504"/>
    </row>
    <row r="2508" ht="53.25" customHeight="1">
      <c r="O2508" s="504"/>
    </row>
    <row r="2509" ht="53.25" customHeight="1">
      <c r="O2509" s="504"/>
    </row>
    <row r="2510" ht="53.25" customHeight="1">
      <c r="O2510" s="504"/>
    </row>
    <row r="2511" ht="53.25" customHeight="1">
      <c r="O2511" s="504"/>
    </row>
    <row r="2512" ht="53.25" customHeight="1">
      <c r="O2512" s="504"/>
    </row>
    <row r="2513" ht="53.25" customHeight="1">
      <c r="O2513" s="504"/>
    </row>
    <row r="2514" ht="53.25" customHeight="1">
      <c r="O2514" s="504"/>
    </row>
    <row r="2515" ht="53.25" customHeight="1">
      <c r="O2515" s="504"/>
    </row>
    <row r="2516" ht="53.25" customHeight="1">
      <c r="O2516" s="504"/>
    </row>
    <row r="2517" ht="53.25" customHeight="1">
      <c r="O2517" s="504"/>
    </row>
    <row r="2518" ht="53.25" customHeight="1">
      <c r="O2518" s="504"/>
    </row>
    <row r="2519" ht="53.25" customHeight="1">
      <c r="O2519" s="504"/>
    </row>
    <row r="2520" ht="53.25" customHeight="1">
      <c r="O2520" s="504"/>
    </row>
    <row r="2521" ht="53.25" customHeight="1">
      <c r="O2521" s="504"/>
    </row>
    <row r="2522" ht="53.25" customHeight="1">
      <c r="O2522" s="504"/>
    </row>
    <row r="2523" ht="53.25" customHeight="1">
      <c r="O2523" s="504"/>
    </row>
    <row r="2524" ht="53.25" customHeight="1">
      <c r="O2524" s="504"/>
    </row>
    <row r="2525" ht="53.25" customHeight="1">
      <c r="O2525" s="504"/>
    </row>
    <row r="2526" ht="53.25" customHeight="1">
      <c r="O2526" s="504"/>
    </row>
    <row r="2527" ht="53.25" customHeight="1">
      <c r="O2527" s="504"/>
    </row>
    <row r="2528" ht="53.25" customHeight="1">
      <c r="O2528" s="504"/>
    </row>
    <row r="2529" ht="53.25" customHeight="1">
      <c r="O2529" s="504"/>
    </row>
    <row r="2530" ht="53.25" customHeight="1">
      <c r="O2530" s="504"/>
    </row>
    <row r="2531" ht="53.25" customHeight="1">
      <c r="O2531" s="504"/>
    </row>
    <row r="2532" ht="53.25" customHeight="1">
      <c r="O2532" s="504"/>
    </row>
    <row r="2533" ht="53.25" customHeight="1">
      <c r="O2533" s="504"/>
    </row>
    <row r="2534" ht="53.25" customHeight="1">
      <c r="O2534" s="504"/>
    </row>
    <row r="2535" ht="53.25" customHeight="1">
      <c r="O2535" s="504"/>
    </row>
    <row r="2536" ht="53.25" customHeight="1">
      <c r="O2536" s="504"/>
    </row>
    <row r="2537" ht="53.25" customHeight="1">
      <c r="O2537" s="504"/>
    </row>
    <row r="2538" ht="53.25" customHeight="1">
      <c r="O2538" s="504"/>
    </row>
    <row r="2539" ht="53.25" customHeight="1">
      <c r="O2539" s="504"/>
    </row>
    <row r="2540" ht="53.25" customHeight="1">
      <c r="O2540" s="504"/>
    </row>
    <row r="2541" ht="53.25" customHeight="1">
      <c r="O2541" s="504"/>
    </row>
    <row r="2542" ht="53.25" customHeight="1">
      <c r="O2542" s="504"/>
    </row>
    <row r="2543" ht="53.25" customHeight="1">
      <c r="O2543" s="504"/>
    </row>
    <row r="2544" ht="53.25" customHeight="1">
      <c r="O2544" s="504"/>
    </row>
    <row r="2545" ht="53.25" customHeight="1">
      <c r="O2545" s="504"/>
    </row>
    <row r="2546" ht="53.25" customHeight="1">
      <c r="O2546" s="504"/>
    </row>
    <row r="2547" ht="53.25" customHeight="1">
      <c r="O2547" s="504"/>
    </row>
    <row r="2548" ht="53.25" customHeight="1">
      <c r="O2548" s="504"/>
    </row>
    <row r="2549" ht="53.25" customHeight="1">
      <c r="O2549" s="504"/>
    </row>
    <row r="2550" ht="53.25" customHeight="1">
      <c r="O2550" s="504"/>
    </row>
    <row r="2551" ht="53.25" customHeight="1">
      <c r="O2551" s="504"/>
    </row>
    <row r="2552" ht="53.25" customHeight="1">
      <c r="O2552" s="504"/>
    </row>
    <row r="2553" ht="53.25" customHeight="1">
      <c r="O2553" s="504"/>
    </row>
    <row r="2554" ht="53.25" customHeight="1">
      <c r="O2554" s="504"/>
    </row>
    <row r="2555" ht="53.25" customHeight="1">
      <c r="O2555" s="504"/>
    </row>
    <row r="2556" ht="53.25" customHeight="1">
      <c r="O2556" s="504"/>
    </row>
    <row r="2557" ht="53.25" customHeight="1">
      <c r="O2557" s="504"/>
    </row>
    <row r="2558" ht="53.25" customHeight="1">
      <c r="O2558" s="504"/>
    </row>
    <row r="2559" ht="53.25" customHeight="1">
      <c r="O2559" s="504"/>
    </row>
    <row r="2560" ht="53.25" customHeight="1">
      <c r="O2560" s="504"/>
    </row>
    <row r="2561" ht="53.25" customHeight="1">
      <c r="O2561" s="504"/>
    </row>
    <row r="2562" ht="53.25" customHeight="1">
      <c r="O2562" s="504"/>
    </row>
    <row r="2563" ht="53.25" customHeight="1">
      <c r="O2563" s="504"/>
    </row>
    <row r="2564" ht="53.25" customHeight="1">
      <c r="O2564" s="504"/>
    </row>
    <row r="2565" ht="53.25" customHeight="1">
      <c r="O2565" s="504"/>
    </row>
    <row r="2566" ht="53.25" customHeight="1">
      <c r="O2566" s="504"/>
    </row>
    <row r="2567" ht="53.25" customHeight="1">
      <c r="O2567" s="504"/>
    </row>
    <row r="2568" ht="53.25" customHeight="1">
      <c r="O2568" s="504"/>
    </row>
    <row r="2569" ht="53.25" customHeight="1">
      <c r="O2569" s="504"/>
    </row>
    <row r="2570" ht="53.25" customHeight="1">
      <c r="O2570" s="504"/>
    </row>
    <row r="2571" ht="53.25" customHeight="1">
      <c r="O2571" s="504"/>
    </row>
    <row r="2572" ht="53.25" customHeight="1">
      <c r="O2572" s="504"/>
    </row>
    <row r="2573" ht="53.25" customHeight="1">
      <c r="O2573" s="504"/>
    </row>
    <row r="2574" ht="53.25" customHeight="1">
      <c r="O2574" s="504"/>
    </row>
    <row r="2575" ht="53.25" customHeight="1">
      <c r="O2575" s="504"/>
    </row>
    <row r="2576" ht="53.25" customHeight="1">
      <c r="O2576" s="504"/>
    </row>
    <row r="2577" ht="53.25" customHeight="1">
      <c r="O2577" s="504"/>
    </row>
    <row r="2578" ht="53.25" customHeight="1">
      <c r="O2578" s="504"/>
    </row>
    <row r="2579" ht="53.25" customHeight="1">
      <c r="O2579" s="504"/>
    </row>
    <row r="2580" ht="53.25" customHeight="1">
      <c r="O2580" s="504"/>
    </row>
    <row r="2581" ht="53.25" customHeight="1">
      <c r="O2581" s="504"/>
    </row>
    <row r="2582" ht="53.25" customHeight="1">
      <c r="O2582" s="504"/>
    </row>
    <row r="2583" ht="53.25" customHeight="1">
      <c r="O2583" s="504"/>
    </row>
    <row r="2584" ht="53.25" customHeight="1">
      <c r="O2584" s="504"/>
    </row>
    <row r="2585" ht="53.25" customHeight="1">
      <c r="O2585" s="504"/>
    </row>
    <row r="2586" ht="53.25" customHeight="1">
      <c r="O2586" s="504"/>
    </row>
    <row r="2587" ht="53.25" customHeight="1">
      <c r="O2587" s="504"/>
    </row>
    <row r="2588" ht="53.25" customHeight="1">
      <c r="O2588" s="504"/>
    </row>
    <row r="2589" ht="53.25" customHeight="1">
      <c r="O2589" s="504"/>
    </row>
    <row r="2590" ht="53.25" customHeight="1">
      <c r="O2590" s="504"/>
    </row>
    <row r="2591" ht="53.25" customHeight="1">
      <c r="O2591" s="504"/>
    </row>
    <row r="2592" ht="53.25" customHeight="1">
      <c r="O2592" s="504"/>
    </row>
    <row r="2593" ht="53.25" customHeight="1">
      <c r="O2593" s="504"/>
    </row>
    <row r="2594" ht="53.25" customHeight="1">
      <c r="O2594" s="504"/>
    </row>
    <row r="2595" ht="53.25" customHeight="1">
      <c r="O2595" s="504"/>
    </row>
    <row r="2596" ht="53.25" customHeight="1">
      <c r="O2596" s="504"/>
    </row>
    <row r="2597" ht="53.25" customHeight="1">
      <c r="O2597" s="504"/>
    </row>
    <row r="2598" ht="53.25" customHeight="1">
      <c r="O2598" s="504"/>
    </row>
    <row r="2599" ht="53.25" customHeight="1">
      <c r="O2599" s="504"/>
    </row>
    <row r="2600" ht="53.25" customHeight="1">
      <c r="O2600" s="504"/>
    </row>
    <row r="2601" ht="53.25" customHeight="1">
      <c r="O2601" s="504"/>
    </row>
    <row r="2602" ht="53.25" customHeight="1">
      <c r="O2602" s="504"/>
    </row>
    <row r="2603" ht="53.25" customHeight="1">
      <c r="O2603" s="504"/>
    </row>
    <row r="2604" ht="53.25" customHeight="1">
      <c r="O2604" s="504"/>
    </row>
    <row r="2605" ht="53.25" customHeight="1">
      <c r="O2605" s="504"/>
    </row>
    <row r="2606" ht="53.25" customHeight="1">
      <c r="O2606" s="504"/>
    </row>
    <row r="2607" ht="53.25" customHeight="1">
      <c r="O2607" s="504"/>
    </row>
    <row r="2608" ht="53.25" customHeight="1">
      <c r="O2608" s="504"/>
    </row>
    <row r="2609" ht="53.25" customHeight="1">
      <c r="O2609" s="504"/>
    </row>
    <row r="2610" ht="53.25" customHeight="1">
      <c r="O2610" s="504"/>
    </row>
    <row r="2611" ht="53.25" customHeight="1">
      <c r="O2611" s="504"/>
    </row>
    <row r="2612" ht="53.25" customHeight="1">
      <c r="O2612" s="504"/>
    </row>
    <row r="2613" ht="53.25" customHeight="1">
      <c r="O2613" s="504"/>
    </row>
    <row r="2614" ht="53.25" customHeight="1">
      <c r="O2614" s="504"/>
    </row>
    <row r="2615" ht="53.25" customHeight="1">
      <c r="O2615" s="504"/>
    </row>
    <row r="2616" ht="53.25" customHeight="1">
      <c r="O2616" s="504"/>
    </row>
    <row r="2617" ht="53.25" customHeight="1">
      <c r="O2617" s="504"/>
    </row>
    <row r="2618" ht="53.25" customHeight="1">
      <c r="O2618" s="504"/>
    </row>
    <row r="2619" ht="53.25" customHeight="1">
      <c r="O2619" s="504"/>
    </row>
    <row r="2620" ht="53.25" customHeight="1">
      <c r="O2620" s="504"/>
    </row>
    <row r="2621" ht="53.25" customHeight="1">
      <c r="O2621" s="504"/>
    </row>
    <row r="2622" ht="53.25" customHeight="1">
      <c r="O2622" s="504"/>
    </row>
    <row r="2623" ht="53.25" customHeight="1">
      <c r="O2623" s="504"/>
    </row>
    <row r="2624" ht="53.25" customHeight="1">
      <c r="O2624" s="504"/>
    </row>
    <row r="2625" ht="53.25" customHeight="1">
      <c r="O2625" s="504"/>
    </row>
    <row r="2626" ht="53.25" customHeight="1">
      <c r="O2626" s="504"/>
    </row>
    <row r="2627" ht="53.25" customHeight="1">
      <c r="O2627" s="504"/>
    </row>
    <row r="2628" ht="53.25" customHeight="1">
      <c r="O2628" s="504"/>
    </row>
    <row r="2629" ht="53.25" customHeight="1">
      <c r="O2629" s="504"/>
    </row>
    <row r="2630" ht="53.25" customHeight="1">
      <c r="O2630" s="504"/>
    </row>
    <row r="2631" ht="53.25" customHeight="1">
      <c r="O2631" s="504"/>
    </row>
    <row r="2632" ht="53.25" customHeight="1">
      <c r="O2632" s="504"/>
    </row>
    <row r="2633" ht="53.25" customHeight="1">
      <c r="O2633" s="504"/>
    </row>
    <row r="2634" ht="53.25" customHeight="1">
      <c r="O2634" s="504"/>
    </row>
    <row r="2635" ht="53.25" customHeight="1">
      <c r="O2635" s="504"/>
    </row>
    <row r="2636" ht="53.25" customHeight="1">
      <c r="O2636" s="504"/>
    </row>
    <row r="2637" ht="53.25" customHeight="1">
      <c r="O2637" s="504"/>
    </row>
    <row r="2638" ht="53.25" customHeight="1">
      <c r="O2638" s="504"/>
    </row>
    <row r="2639" ht="53.25" customHeight="1">
      <c r="O2639" s="504"/>
    </row>
    <row r="2640" ht="53.25" customHeight="1">
      <c r="O2640" s="504"/>
    </row>
    <row r="2641" ht="53.25" customHeight="1">
      <c r="O2641" s="504"/>
    </row>
    <row r="2642" ht="53.25" customHeight="1">
      <c r="O2642" s="504"/>
    </row>
    <row r="2643" ht="53.25" customHeight="1">
      <c r="O2643" s="504"/>
    </row>
    <row r="2644" ht="53.25" customHeight="1">
      <c r="O2644" s="504"/>
    </row>
    <row r="2645" ht="53.25" customHeight="1">
      <c r="O2645" s="504"/>
    </row>
    <row r="2646" ht="53.25" customHeight="1">
      <c r="O2646" s="504"/>
    </row>
    <row r="2647" ht="53.25" customHeight="1">
      <c r="O2647" s="504"/>
    </row>
    <row r="2648" ht="53.25" customHeight="1">
      <c r="O2648" s="504"/>
    </row>
    <row r="2649" ht="53.25" customHeight="1">
      <c r="O2649" s="504"/>
    </row>
    <row r="2650" ht="53.25" customHeight="1">
      <c r="O2650" s="504"/>
    </row>
    <row r="2651" ht="53.25" customHeight="1">
      <c r="O2651" s="504"/>
    </row>
    <row r="2652" ht="53.25" customHeight="1">
      <c r="O2652" s="504"/>
    </row>
    <row r="2653" ht="53.25" customHeight="1">
      <c r="O2653" s="504"/>
    </row>
    <row r="2654" ht="53.25" customHeight="1">
      <c r="O2654" s="504"/>
    </row>
    <row r="2655" ht="53.25" customHeight="1">
      <c r="O2655" s="504"/>
    </row>
    <row r="2656" ht="53.25" customHeight="1">
      <c r="O2656" s="504"/>
    </row>
    <row r="2657" ht="53.25" customHeight="1">
      <c r="O2657" s="504"/>
    </row>
    <row r="2658" ht="53.25" customHeight="1">
      <c r="O2658" s="504"/>
    </row>
    <row r="2659" ht="53.25" customHeight="1">
      <c r="O2659" s="504"/>
    </row>
    <row r="2660" ht="53.25" customHeight="1">
      <c r="O2660" s="504"/>
    </row>
    <row r="2661" ht="53.25" customHeight="1">
      <c r="O2661" s="504"/>
    </row>
    <row r="2662" ht="53.25" customHeight="1">
      <c r="O2662" s="504"/>
    </row>
    <row r="2663" ht="53.25" customHeight="1">
      <c r="O2663" s="504"/>
    </row>
    <row r="2664" ht="53.25" customHeight="1">
      <c r="O2664" s="504"/>
    </row>
    <row r="2665" ht="53.25" customHeight="1">
      <c r="O2665" s="504"/>
    </row>
    <row r="2666" ht="53.25" customHeight="1">
      <c r="O2666" s="504"/>
    </row>
    <row r="2667" ht="53.25" customHeight="1">
      <c r="O2667" s="504"/>
    </row>
    <row r="2668" ht="53.25" customHeight="1">
      <c r="O2668" s="504"/>
    </row>
    <row r="2669" ht="53.25" customHeight="1">
      <c r="O2669" s="504"/>
    </row>
    <row r="2670" ht="53.25" customHeight="1">
      <c r="O2670" s="504"/>
    </row>
    <row r="2671" ht="53.25" customHeight="1">
      <c r="O2671" s="504"/>
    </row>
    <row r="2672" ht="53.25" customHeight="1">
      <c r="O2672" s="504"/>
    </row>
    <row r="2673" ht="53.25" customHeight="1">
      <c r="O2673" s="504"/>
    </row>
    <row r="2674" ht="53.25" customHeight="1">
      <c r="O2674" s="504"/>
    </row>
    <row r="2675" ht="53.25" customHeight="1">
      <c r="O2675" s="504"/>
    </row>
    <row r="2676" ht="53.25" customHeight="1">
      <c r="O2676" s="504"/>
    </row>
    <row r="2677" ht="53.25" customHeight="1">
      <c r="O2677" s="504"/>
    </row>
    <row r="2678" ht="53.25" customHeight="1">
      <c r="O2678" s="504"/>
    </row>
    <row r="2679" ht="53.25" customHeight="1">
      <c r="O2679" s="504"/>
    </row>
    <row r="2680" ht="53.25" customHeight="1">
      <c r="O2680" s="504"/>
    </row>
    <row r="2681" ht="53.25" customHeight="1">
      <c r="O2681" s="504"/>
    </row>
    <row r="2682" ht="53.25" customHeight="1">
      <c r="O2682" s="504"/>
    </row>
    <row r="2683" ht="53.25" customHeight="1">
      <c r="O2683" s="504"/>
    </row>
    <row r="2684" ht="53.25" customHeight="1">
      <c r="O2684" s="504"/>
    </row>
    <row r="2685" ht="53.25" customHeight="1">
      <c r="O2685" s="504"/>
    </row>
    <row r="2686" ht="53.25" customHeight="1">
      <c r="O2686" s="504"/>
    </row>
    <row r="2687" ht="53.25" customHeight="1">
      <c r="O2687" s="504"/>
    </row>
    <row r="2688" ht="53.25" customHeight="1">
      <c r="O2688" s="504"/>
    </row>
    <row r="2689" ht="53.25" customHeight="1">
      <c r="O2689" s="504"/>
    </row>
    <row r="2690" ht="53.25" customHeight="1">
      <c r="O2690" s="504"/>
    </row>
    <row r="2691" ht="53.25" customHeight="1">
      <c r="O2691" s="504"/>
    </row>
    <row r="2692" ht="53.25" customHeight="1">
      <c r="O2692" s="504"/>
    </row>
    <row r="2693" ht="53.25" customHeight="1">
      <c r="O2693" s="504"/>
    </row>
    <row r="2694" ht="53.25" customHeight="1">
      <c r="O2694" s="504"/>
    </row>
    <row r="2695" ht="53.25" customHeight="1">
      <c r="O2695" s="504"/>
    </row>
    <row r="2696" ht="53.25" customHeight="1">
      <c r="O2696" s="504"/>
    </row>
    <row r="2697" ht="53.25" customHeight="1">
      <c r="O2697" s="504"/>
    </row>
    <row r="2698" ht="53.25" customHeight="1">
      <c r="O2698" s="504"/>
    </row>
    <row r="2699" ht="53.25" customHeight="1">
      <c r="O2699" s="504"/>
    </row>
    <row r="2700" ht="53.25" customHeight="1">
      <c r="O2700" s="504"/>
    </row>
    <row r="2701" ht="53.25" customHeight="1">
      <c r="O2701" s="504"/>
    </row>
    <row r="2702" ht="53.25" customHeight="1">
      <c r="O2702" s="504"/>
    </row>
    <row r="2703" ht="53.25" customHeight="1">
      <c r="O2703" s="504"/>
    </row>
    <row r="2704" ht="53.25" customHeight="1">
      <c r="O2704" s="504"/>
    </row>
    <row r="2705" ht="53.25" customHeight="1">
      <c r="O2705" s="504"/>
    </row>
    <row r="2706" ht="53.25" customHeight="1">
      <c r="O2706" s="504"/>
    </row>
    <row r="2707" ht="53.25" customHeight="1">
      <c r="O2707" s="504"/>
    </row>
    <row r="2708" ht="53.25" customHeight="1">
      <c r="O2708" s="504"/>
    </row>
    <row r="2709" ht="53.25" customHeight="1">
      <c r="O2709" s="504"/>
    </row>
    <row r="2710" ht="53.25" customHeight="1">
      <c r="O2710" s="504"/>
    </row>
    <row r="2711" ht="53.25" customHeight="1">
      <c r="O2711" s="504"/>
    </row>
    <row r="2712" ht="53.25" customHeight="1">
      <c r="O2712" s="504"/>
    </row>
    <row r="2713" ht="53.25" customHeight="1">
      <c r="O2713" s="504"/>
    </row>
    <row r="2714" ht="53.25" customHeight="1">
      <c r="O2714" s="504"/>
    </row>
    <row r="2715" ht="53.25" customHeight="1">
      <c r="O2715" s="504"/>
    </row>
    <row r="2716" ht="53.25" customHeight="1">
      <c r="O2716" s="504"/>
    </row>
    <row r="2717" ht="53.25" customHeight="1">
      <c r="O2717" s="504"/>
    </row>
    <row r="2718" ht="53.25" customHeight="1">
      <c r="O2718" s="504"/>
    </row>
    <row r="2719" ht="53.25" customHeight="1">
      <c r="O2719" s="504"/>
    </row>
    <row r="2720" ht="53.25" customHeight="1">
      <c r="O2720" s="504"/>
    </row>
    <row r="2721" ht="53.25" customHeight="1">
      <c r="O2721" s="504"/>
    </row>
    <row r="2722" ht="53.25" customHeight="1">
      <c r="O2722" s="504"/>
    </row>
    <row r="2723" ht="53.25" customHeight="1">
      <c r="O2723" s="504"/>
    </row>
    <row r="2724" ht="53.25" customHeight="1">
      <c r="O2724" s="504"/>
    </row>
    <row r="2725" ht="53.25" customHeight="1">
      <c r="O2725" s="504"/>
    </row>
    <row r="2726" ht="53.25" customHeight="1">
      <c r="O2726" s="504"/>
    </row>
    <row r="2727" ht="53.25" customHeight="1">
      <c r="O2727" s="504"/>
    </row>
    <row r="2728" ht="53.25" customHeight="1">
      <c r="O2728" s="504"/>
    </row>
    <row r="2729" ht="53.25" customHeight="1">
      <c r="O2729" s="504"/>
    </row>
    <row r="2730" ht="53.25" customHeight="1">
      <c r="O2730" s="504"/>
    </row>
    <row r="2731" ht="53.25" customHeight="1">
      <c r="O2731" s="504"/>
    </row>
    <row r="2732" ht="53.25" customHeight="1">
      <c r="O2732" s="504"/>
    </row>
    <row r="2733" ht="53.25" customHeight="1">
      <c r="O2733" s="504"/>
    </row>
    <row r="2734" ht="53.25" customHeight="1">
      <c r="O2734" s="504"/>
    </row>
    <row r="2735" ht="53.25" customHeight="1">
      <c r="O2735" s="504"/>
    </row>
    <row r="2736" ht="53.25" customHeight="1">
      <c r="O2736" s="504"/>
    </row>
    <row r="2737" ht="53.25" customHeight="1">
      <c r="O2737" s="504"/>
    </row>
    <row r="2738" ht="53.25" customHeight="1">
      <c r="O2738" s="504"/>
    </row>
    <row r="2739" ht="53.25" customHeight="1">
      <c r="O2739" s="504"/>
    </row>
    <row r="2740" ht="53.25" customHeight="1">
      <c r="O2740" s="504"/>
    </row>
    <row r="2741" ht="53.25" customHeight="1">
      <c r="O2741" s="504"/>
    </row>
    <row r="2742" ht="53.25" customHeight="1">
      <c r="O2742" s="504"/>
    </row>
    <row r="2743" ht="53.25" customHeight="1">
      <c r="O2743" s="504"/>
    </row>
    <row r="2744" ht="53.25" customHeight="1">
      <c r="O2744" s="504"/>
    </row>
    <row r="2745" ht="53.25" customHeight="1">
      <c r="O2745" s="504"/>
    </row>
    <row r="2746" ht="53.25" customHeight="1">
      <c r="O2746" s="504"/>
    </row>
    <row r="2747" ht="53.25" customHeight="1">
      <c r="O2747" s="504"/>
    </row>
    <row r="2748" ht="53.25" customHeight="1">
      <c r="O2748" s="504"/>
    </row>
    <row r="2749" ht="53.25" customHeight="1">
      <c r="O2749" s="504"/>
    </row>
    <row r="2750" ht="53.25" customHeight="1">
      <c r="O2750" s="504"/>
    </row>
    <row r="2751" ht="53.25" customHeight="1">
      <c r="O2751" s="504"/>
    </row>
    <row r="2752" ht="53.25" customHeight="1">
      <c r="O2752" s="504"/>
    </row>
    <row r="2753" ht="53.25" customHeight="1">
      <c r="O2753" s="504"/>
    </row>
    <row r="2754" ht="53.25" customHeight="1">
      <c r="O2754" s="504"/>
    </row>
    <row r="2755" ht="53.25" customHeight="1">
      <c r="O2755" s="504"/>
    </row>
    <row r="2756" ht="53.25" customHeight="1">
      <c r="O2756" s="504"/>
    </row>
    <row r="2757" ht="53.25" customHeight="1">
      <c r="O2757" s="504"/>
    </row>
    <row r="2758" ht="53.25" customHeight="1">
      <c r="O2758" s="504"/>
    </row>
    <row r="2759" ht="53.25" customHeight="1">
      <c r="O2759" s="504"/>
    </row>
    <row r="2760" ht="53.25" customHeight="1">
      <c r="O2760" s="504"/>
    </row>
    <row r="2761" ht="53.25" customHeight="1">
      <c r="O2761" s="504"/>
    </row>
    <row r="2762" ht="53.25" customHeight="1">
      <c r="O2762" s="504"/>
    </row>
    <row r="2763" ht="53.25" customHeight="1">
      <c r="O2763" s="504"/>
    </row>
    <row r="2764" ht="53.25" customHeight="1">
      <c r="O2764" s="504"/>
    </row>
    <row r="2765" ht="53.25" customHeight="1">
      <c r="O2765" s="504"/>
    </row>
    <row r="2766" ht="53.25" customHeight="1">
      <c r="O2766" s="504"/>
    </row>
    <row r="2767" ht="53.25" customHeight="1">
      <c r="O2767" s="504"/>
    </row>
    <row r="2768" ht="53.25" customHeight="1">
      <c r="O2768" s="504"/>
    </row>
    <row r="2769" ht="53.25" customHeight="1">
      <c r="O2769" s="504"/>
    </row>
    <row r="2770" ht="53.25" customHeight="1">
      <c r="O2770" s="504"/>
    </row>
    <row r="2771" ht="53.25" customHeight="1">
      <c r="O2771" s="504"/>
    </row>
    <row r="2772" ht="53.25" customHeight="1">
      <c r="O2772" s="504"/>
    </row>
    <row r="2773" ht="53.25" customHeight="1">
      <c r="O2773" s="504"/>
    </row>
    <row r="2774" ht="53.25" customHeight="1">
      <c r="O2774" s="504"/>
    </row>
    <row r="2775" ht="53.25" customHeight="1">
      <c r="O2775" s="504"/>
    </row>
    <row r="2776" ht="53.25" customHeight="1">
      <c r="O2776" s="504"/>
    </row>
    <row r="2777" ht="53.25" customHeight="1">
      <c r="O2777" s="504"/>
    </row>
    <row r="2778" ht="53.25" customHeight="1">
      <c r="O2778" s="504"/>
    </row>
    <row r="2779" ht="53.25" customHeight="1">
      <c r="O2779" s="504"/>
    </row>
    <row r="2780" ht="53.25" customHeight="1">
      <c r="O2780" s="504"/>
    </row>
    <row r="2781" ht="53.25" customHeight="1">
      <c r="O2781" s="504"/>
    </row>
    <row r="2782" ht="53.25" customHeight="1">
      <c r="O2782" s="504"/>
    </row>
    <row r="2783" ht="53.25" customHeight="1">
      <c r="O2783" s="504"/>
    </row>
    <row r="2784" ht="53.25" customHeight="1">
      <c r="O2784" s="504"/>
    </row>
    <row r="2785" ht="53.25" customHeight="1">
      <c r="O2785" s="504"/>
    </row>
    <row r="2786" ht="53.25" customHeight="1">
      <c r="O2786" s="504"/>
    </row>
    <row r="2787" ht="53.25" customHeight="1">
      <c r="O2787" s="504"/>
    </row>
    <row r="2788" ht="53.25" customHeight="1">
      <c r="O2788" s="504"/>
    </row>
    <row r="2789" ht="53.25" customHeight="1">
      <c r="O2789" s="504"/>
    </row>
    <row r="2790" ht="53.25" customHeight="1">
      <c r="O2790" s="504"/>
    </row>
    <row r="2791" ht="53.25" customHeight="1">
      <c r="O2791" s="504"/>
    </row>
    <row r="2792" ht="53.25" customHeight="1">
      <c r="O2792" s="504"/>
    </row>
    <row r="2793" ht="53.25" customHeight="1">
      <c r="O2793" s="504"/>
    </row>
    <row r="2794" ht="53.25" customHeight="1">
      <c r="O2794" s="504"/>
    </row>
    <row r="2795" ht="53.25" customHeight="1">
      <c r="O2795" s="504"/>
    </row>
    <row r="2796" ht="53.25" customHeight="1">
      <c r="O2796" s="504"/>
    </row>
    <row r="2797" ht="53.25" customHeight="1">
      <c r="O2797" s="504"/>
    </row>
    <row r="2798" ht="53.25" customHeight="1">
      <c r="O2798" s="504"/>
    </row>
    <row r="2799" ht="53.25" customHeight="1">
      <c r="O2799" s="504"/>
    </row>
    <row r="2800" ht="53.25" customHeight="1">
      <c r="O2800" s="504"/>
    </row>
    <row r="2801" ht="53.25" customHeight="1">
      <c r="O2801" s="504"/>
    </row>
    <row r="2802" ht="53.25" customHeight="1">
      <c r="O2802" s="504"/>
    </row>
    <row r="2803" ht="53.25" customHeight="1">
      <c r="O2803" s="504"/>
    </row>
    <row r="2804" ht="53.25" customHeight="1">
      <c r="O2804" s="504"/>
    </row>
    <row r="2805" ht="53.25" customHeight="1">
      <c r="O2805" s="504"/>
    </row>
    <row r="2806" ht="53.25" customHeight="1">
      <c r="O2806" s="504"/>
    </row>
    <row r="2807" ht="53.25" customHeight="1">
      <c r="O2807" s="504"/>
    </row>
    <row r="2808" ht="53.25" customHeight="1">
      <c r="O2808" s="504"/>
    </row>
    <row r="2809" ht="53.25" customHeight="1">
      <c r="O2809" s="504"/>
    </row>
    <row r="2810" ht="53.25" customHeight="1">
      <c r="O2810" s="504"/>
    </row>
    <row r="2811" ht="53.25" customHeight="1">
      <c r="O2811" s="504"/>
    </row>
    <row r="2812" ht="53.25" customHeight="1">
      <c r="O2812" s="504"/>
    </row>
    <row r="2813" ht="53.25" customHeight="1">
      <c r="O2813" s="504"/>
    </row>
    <row r="2814" ht="53.25" customHeight="1">
      <c r="O2814" s="504"/>
    </row>
    <row r="2815" ht="53.25" customHeight="1">
      <c r="O2815" s="504"/>
    </row>
    <row r="2816" ht="53.25" customHeight="1">
      <c r="O2816" s="504"/>
    </row>
    <row r="2817" ht="53.25" customHeight="1">
      <c r="O2817" s="504"/>
    </row>
    <row r="2818" ht="53.25" customHeight="1">
      <c r="O2818" s="504"/>
    </row>
    <row r="2819" ht="53.25" customHeight="1">
      <c r="O2819" s="504"/>
    </row>
    <row r="2820" ht="53.25" customHeight="1">
      <c r="O2820" s="504"/>
    </row>
    <row r="2821" ht="53.25" customHeight="1">
      <c r="O2821" s="504"/>
    </row>
    <row r="2822" ht="53.25" customHeight="1">
      <c r="O2822" s="504"/>
    </row>
    <row r="2823" ht="53.25" customHeight="1">
      <c r="O2823" s="504"/>
    </row>
    <row r="2824" ht="53.25" customHeight="1">
      <c r="O2824" s="504"/>
    </row>
    <row r="2825" ht="53.25" customHeight="1">
      <c r="O2825" s="504"/>
    </row>
    <row r="2826" ht="53.25" customHeight="1">
      <c r="O2826" s="504"/>
    </row>
    <row r="2827" ht="53.25" customHeight="1">
      <c r="O2827" s="504"/>
    </row>
    <row r="2828" ht="53.25" customHeight="1">
      <c r="O2828" s="504"/>
    </row>
    <row r="2829" ht="53.25" customHeight="1">
      <c r="O2829" s="504"/>
    </row>
    <row r="2830" ht="53.25" customHeight="1">
      <c r="O2830" s="504"/>
    </row>
    <row r="2831" ht="53.25" customHeight="1">
      <c r="O2831" s="504"/>
    </row>
    <row r="2832" ht="53.25" customHeight="1">
      <c r="O2832" s="504"/>
    </row>
    <row r="2833" ht="53.25" customHeight="1">
      <c r="O2833" s="504"/>
    </row>
    <row r="2834" ht="53.25" customHeight="1">
      <c r="O2834" s="504"/>
    </row>
    <row r="2835" ht="53.25" customHeight="1">
      <c r="O2835" s="504"/>
    </row>
    <row r="2836" ht="53.25" customHeight="1">
      <c r="O2836" s="504"/>
    </row>
    <row r="2837" ht="53.25" customHeight="1">
      <c r="O2837" s="504"/>
    </row>
    <row r="2838" ht="53.25" customHeight="1">
      <c r="O2838" s="504"/>
    </row>
    <row r="2839" ht="53.25" customHeight="1">
      <c r="O2839" s="504"/>
    </row>
    <row r="2840" ht="53.25" customHeight="1">
      <c r="O2840" s="504"/>
    </row>
    <row r="2841" ht="53.25" customHeight="1">
      <c r="O2841" s="504"/>
    </row>
    <row r="2842" ht="53.25" customHeight="1">
      <c r="O2842" s="504"/>
    </row>
    <row r="2843" ht="53.25" customHeight="1">
      <c r="O2843" s="504"/>
    </row>
    <row r="2844" ht="53.25" customHeight="1">
      <c r="O2844" s="504"/>
    </row>
    <row r="2845" ht="53.25" customHeight="1">
      <c r="O2845" s="504"/>
    </row>
    <row r="2846" ht="53.25" customHeight="1">
      <c r="O2846" s="504"/>
    </row>
    <row r="2847" ht="53.25" customHeight="1">
      <c r="O2847" s="504"/>
    </row>
    <row r="2848" ht="53.25" customHeight="1">
      <c r="O2848" s="504"/>
    </row>
    <row r="2849" ht="53.25" customHeight="1">
      <c r="O2849" s="504"/>
    </row>
    <row r="2850" ht="53.25" customHeight="1">
      <c r="O2850" s="504"/>
    </row>
    <row r="2851" ht="53.25" customHeight="1">
      <c r="O2851" s="504"/>
    </row>
    <row r="2852" ht="53.25" customHeight="1">
      <c r="O2852" s="504"/>
    </row>
    <row r="2853" ht="53.25" customHeight="1">
      <c r="O2853" s="504"/>
    </row>
    <row r="2854" ht="53.25" customHeight="1">
      <c r="O2854" s="504"/>
    </row>
    <row r="2855" ht="53.25" customHeight="1">
      <c r="O2855" s="504"/>
    </row>
    <row r="2856" ht="53.25" customHeight="1">
      <c r="O2856" s="504"/>
    </row>
    <row r="2857" ht="53.25" customHeight="1">
      <c r="O2857" s="504"/>
    </row>
    <row r="2858" ht="53.25" customHeight="1">
      <c r="O2858" s="504"/>
    </row>
    <row r="2859" ht="53.25" customHeight="1">
      <c r="O2859" s="504"/>
    </row>
    <row r="2860" ht="53.25" customHeight="1">
      <c r="O2860" s="504"/>
    </row>
    <row r="2861" ht="53.25" customHeight="1">
      <c r="O2861" s="504"/>
    </row>
    <row r="2862" ht="53.25" customHeight="1">
      <c r="O2862" s="504"/>
    </row>
    <row r="2863" ht="53.25" customHeight="1">
      <c r="O2863" s="504"/>
    </row>
    <row r="2864" ht="53.25" customHeight="1">
      <c r="O2864" s="504"/>
    </row>
    <row r="2865" ht="53.25" customHeight="1">
      <c r="O2865" s="504"/>
    </row>
    <row r="2866" ht="53.25" customHeight="1">
      <c r="O2866" s="504"/>
    </row>
    <row r="2867" ht="53.25" customHeight="1">
      <c r="O2867" s="504"/>
    </row>
    <row r="2868" ht="53.25" customHeight="1">
      <c r="O2868" s="504"/>
    </row>
    <row r="2869" ht="53.25" customHeight="1">
      <c r="O2869" s="504"/>
    </row>
    <row r="2870" ht="53.25" customHeight="1">
      <c r="O2870" s="504"/>
    </row>
    <row r="2871" ht="53.25" customHeight="1">
      <c r="O2871" s="504"/>
    </row>
    <row r="2872" ht="53.25" customHeight="1">
      <c r="O2872" s="504"/>
    </row>
    <row r="2873" ht="53.25" customHeight="1">
      <c r="O2873" s="504"/>
    </row>
    <row r="2874" ht="53.25" customHeight="1">
      <c r="O2874" s="504"/>
    </row>
    <row r="2875" ht="53.25" customHeight="1">
      <c r="O2875" s="504"/>
    </row>
    <row r="2876" ht="53.25" customHeight="1">
      <c r="O2876" s="504"/>
    </row>
    <row r="2877" ht="53.25" customHeight="1">
      <c r="O2877" s="504"/>
    </row>
    <row r="2878" ht="53.25" customHeight="1">
      <c r="O2878" s="504"/>
    </row>
    <row r="2879" ht="53.25" customHeight="1">
      <c r="O2879" s="504"/>
    </row>
    <row r="2880" ht="53.25" customHeight="1">
      <c r="O2880" s="504"/>
    </row>
    <row r="2881" ht="53.25" customHeight="1">
      <c r="O2881" s="504"/>
    </row>
    <row r="2882" ht="53.25" customHeight="1">
      <c r="O2882" s="504"/>
    </row>
    <row r="2883" ht="53.25" customHeight="1">
      <c r="O2883" s="504"/>
    </row>
    <row r="2884" ht="53.25" customHeight="1">
      <c r="O2884" s="504"/>
    </row>
    <row r="2885" ht="53.25" customHeight="1">
      <c r="O2885" s="504"/>
    </row>
    <row r="2886" ht="53.25" customHeight="1">
      <c r="O2886" s="504"/>
    </row>
    <row r="2887" ht="53.25" customHeight="1">
      <c r="O2887" s="504"/>
    </row>
    <row r="2888" ht="53.25" customHeight="1">
      <c r="O2888" s="504"/>
    </row>
    <row r="2889" ht="53.25" customHeight="1">
      <c r="O2889" s="504"/>
    </row>
    <row r="2890" ht="53.25" customHeight="1">
      <c r="O2890" s="504"/>
    </row>
    <row r="2891" ht="53.25" customHeight="1">
      <c r="O2891" s="504"/>
    </row>
    <row r="2892" ht="53.25" customHeight="1">
      <c r="O2892" s="504"/>
    </row>
    <row r="2893" ht="53.25" customHeight="1">
      <c r="O2893" s="504"/>
    </row>
    <row r="2894" ht="53.25" customHeight="1">
      <c r="O2894" s="504"/>
    </row>
    <row r="2895" ht="53.25" customHeight="1">
      <c r="O2895" s="504"/>
    </row>
    <row r="2896" ht="53.25" customHeight="1">
      <c r="O2896" s="504"/>
    </row>
    <row r="2897" ht="53.25" customHeight="1">
      <c r="O2897" s="504"/>
    </row>
    <row r="2898" ht="53.25" customHeight="1">
      <c r="O2898" s="504"/>
    </row>
    <row r="2899" ht="53.25" customHeight="1">
      <c r="O2899" s="504"/>
    </row>
    <row r="2900" ht="53.25" customHeight="1">
      <c r="O2900" s="504"/>
    </row>
    <row r="2901" ht="53.25" customHeight="1">
      <c r="O2901" s="504"/>
    </row>
    <row r="2902" ht="53.25" customHeight="1">
      <c r="O2902" s="504"/>
    </row>
    <row r="2903" ht="53.25" customHeight="1">
      <c r="O2903" s="504"/>
    </row>
    <row r="2904" ht="53.25" customHeight="1">
      <c r="O2904" s="504"/>
    </row>
    <row r="2905" ht="53.25" customHeight="1">
      <c r="O2905" s="504"/>
    </row>
    <row r="2906" ht="53.25" customHeight="1">
      <c r="O2906" s="504"/>
    </row>
    <row r="2907" ht="53.25" customHeight="1">
      <c r="O2907" s="504"/>
    </row>
    <row r="2908" ht="53.25" customHeight="1">
      <c r="O2908" s="504"/>
    </row>
    <row r="2909" ht="53.25" customHeight="1">
      <c r="O2909" s="504"/>
    </row>
    <row r="2910" ht="53.25" customHeight="1">
      <c r="O2910" s="504"/>
    </row>
    <row r="2911" ht="53.25" customHeight="1">
      <c r="O2911" s="504"/>
    </row>
    <row r="2912" ht="53.25" customHeight="1">
      <c r="O2912" s="504"/>
    </row>
    <row r="2913" ht="53.25" customHeight="1">
      <c r="O2913" s="504"/>
    </row>
    <row r="2914" ht="53.25" customHeight="1">
      <c r="O2914" s="504"/>
    </row>
    <row r="2915" ht="53.25" customHeight="1">
      <c r="O2915" s="504"/>
    </row>
    <row r="2916" ht="53.25" customHeight="1">
      <c r="O2916" s="504"/>
    </row>
    <row r="2917" ht="53.25" customHeight="1">
      <c r="O2917" s="504"/>
    </row>
    <row r="2918" ht="53.25" customHeight="1">
      <c r="O2918" s="504"/>
    </row>
    <row r="2919" ht="53.25" customHeight="1">
      <c r="O2919" s="504"/>
    </row>
    <row r="2920" ht="53.25" customHeight="1">
      <c r="O2920" s="504"/>
    </row>
    <row r="2921" ht="53.25" customHeight="1">
      <c r="O2921" s="504"/>
    </row>
    <row r="2922" ht="53.25" customHeight="1">
      <c r="O2922" s="504"/>
    </row>
    <row r="2923" ht="53.25" customHeight="1">
      <c r="O2923" s="504"/>
    </row>
    <row r="2924" ht="53.25" customHeight="1">
      <c r="O2924" s="504"/>
    </row>
    <row r="2925" ht="53.25" customHeight="1">
      <c r="O2925" s="504"/>
    </row>
    <row r="2926" ht="53.25" customHeight="1">
      <c r="O2926" s="504"/>
    </row>
    <row r="2927" ht="53.25" customHeight="1">
      <c r="O2927" s="504"/>
    </row>
    <row r="2928" ht="53.25" customHeight="1">
      <c r="O2928" s="504"/>
    </row>
    <row r="2929" ht="53.25" customHeight="1">
      <c r="O2929" s="504"/>
    </row>
    <row r="2930" ht="53.25" customHeight="1">
      <c r="O2930" s="504"/>
    </row>
    <row r="2931" ht="53.25" customHeight="1">
      <c r="O2931" s="504"/>
    </row>
    <row r="2932" ht="53.25" customHeight="1">
      <c r="O2932" s="504"/>
    </row>
    <row r="2933" ht="53.25" customHeight="1">
      <c r="O2933" s="504"/>
    </row>
    <row r="2934" ht="53.25" customHeight="1">
      <c r="O2934" s="504"/>
    </row>
    <row r="2935" ht="53.25" customHeight="1">
      <c r="O2935" s="504"/>
    </row>
    <row r="2936" ht="53.25" customHeight="1">
      <c r="O2936" s="504"/>
    </row>
    <row r="2937" ht="53.25" customHeight="1">
      <c r="O2937" s="504"/>
    </row>
    <row r="2938" ht="53.25" customHeight="1">
      <c r="O2938" s="504"/>
    </row>
    <row r="2939" ht="53.25" customHeight="1">
      <c r="O2939" s="504"/>
    </row>
    <row r="2940" ht="53.25" customHeight="1">
      <c r="O2940" s="504"/>
    </row>
    <row r="2941" ht="53.25" customHeight="1">
      <c r="O2941" s="504"/>
    </row>
    <row r="2942" ht="53.25" customHeight="1">
      <c r="O2942" s="504"/>
    </row>
    <row r="2943" ht="53.25" customHeight="1">
      <c r="O2943" s="504"/>
    </row>
    <row r="2944" ht="53.25" customHeight="1">
      <c r="O2944" s="504"/>
    </row>
    <row r="2945" ht="53.25" customHeight="1">
      <c r="O2945" s="504"/>
    </row>
    <row r="2946" ht="53.25" customHeight="1">
      <c r="O2946" s="504"/>
    </row>
    <row r="2947" ht="53.25" customHeight="1">
      <c r="O2947" s="504"/>
    </row>
    <row r="2948" ht="53.25" customHeight="1">
      <c r="O2948" s="504"/>
    </row>
    <row r="2949" ht="53.25" customHeight="1">
      <c r="O2949" s="504"/>
    </row>
    <row r="2950" ht="53.25" customHeight="1">
      <c r="O2950" s="504"/>
    </row>
    <row r="2951" ht="53.25" customHeight="1">
      <c r="O2951" s="504"/>
    </row>
    <row r="2952" ht="53.25" customHeight="1">
      <c r="O2952" s="504"/>
    </row>
    <row r="2953" ht="53.25" customHeight="1">
      <c r="O2953" s="504"/>
    </row>
    <row r="2954" ht="53.25" customHeight="1">
      <c r="O2954" s="504"/>
    </row>
    <row r="2955" ht="53.25" customHeight="1">
      <c r="O2955" s="504"/>
    </row>
    <row r="2956" ht="53.25" customHeight="1">
      <c r="O2956" s="504"/>
    </row>
    <row r="2957" ht="53.25" customHeight="1">
      <c r="O2957" s="504"/>
    </row>
    <row r="2958" ht="53.25" customHeight="1">
      <c r="O2958" s="504"/>
    </row>
    <row r="2959" ht="53.25" customHeight="1">
      <c r="O2959" s="504"/>
    </row>
    <row r="2960" ht="53.25" customHeight="1">
      <c r="O2960" s="504"/>
    </row>
    <row r="2961" ht="53.25" customHeight="1">
      <c r="O2961" s="504"/>
    </row>
    <row r="2962" ht="53.25" customHeight="1">
      <c r="O2962" s="504"/>
    </row>
    <row r="2963" ht="53.25" customHeight="1">
      <c r="O2963" s="504"/>
    </row>
    <row r="2964" ht="53.25" customHeight="1">
      <c r="O2964" s="504"/>
    </row>
    <row r="2965" ht="53.25" customHeight="1">
      <c r="O2965" s="504"/>
    </row>
    <row r="2966" ht="53.25" customHeight="1">
      <c r="O2966" s="504"/>
    </row>
    <row r="2967" ht="53.25" customHeight="1">
      <c r="O2967" s="504"/>
    </row>
    <row r="2968" ht="53.25" customHeight="1">
      <c r="O2968" s="504"/>
    </row>
    <row r="2969" ht="53.25" customHeight="1">
      <c r="O2969" s="504"/>
    </row>
    <row r="2970" ht="53.25" customHeight="1">
      <c r="O2970" s="504"/>
    </row>
    <row r="2971" ht="53.25" customHeight="1">
      <c r="O2971" s="504"/>
    </row>
    <row r="2972" ht="53.25" customHeight="1">
      <c r="O2972" s="504"/>
    </row>
    <row r="2973" ht="53.25" customHeight="1">
      <c r="O2973" s="504"/>
    </row>
    <row r="2974" ht="53.25" customHeight="1">
      <c r="O2974" s="504"/>
    </row>
    <row r="2975" ht="53.25" customHeight="1">
      <c r="O2975" s="504"/>
    </row>
    <row r="2976" ht="53.25" customHeight="1">
      <c r="O2976" s="504"/>
    </row>
    <row r="2977" ht="53.25" customHeight="1">
      <c r="O2977" s="504"/>
    </row>
    <row r="2978" ht="53.25" customHeight="1">
      <c r="O2978" s="504"/>
    </row>
    <row r="2979" ht="53.25" customHeight="1">
      <c r="O2979" s="504"/>
    </row>
    <row r="2980" ht="53.25" customHeight="1">
      <c r="O2980" s="504"/>
    </row>
    <row r="2981" ht="53.25" customHeight="1">
      <c r="O2981" s="504"/>
    </row>
    <row r="2982" ht="53.25" customHeight="1">
      <c r="O2982" s="504"/>
    </row>
    <row r="2983" ht="53.25" customHeight="1">
      <c r="O2983" s="504"/>
    </row>
    <row r="2984" ht="53.25" customHeight="1">
      <c r="O2984" s="504"/>
    </row>
    <row r="2985" ht="53.25" customHeight="1">
      <c r="O2985" s="504"/>
    </row>
    <row r="2986" ht="53.25" customHeight="1">
      <c r="O2986" s="504"/>
    </row>
    <row r="2987" ht="53.25" customHeight="1">
      <c r="O2987" s="504"/>
    </row>
    <row r="2988" ht="53.25" customHeight="1">
      <c r="O2988" s="504"/>
    </row>
    <row r="2989" ht="53.25" customHeight="1">
      <c r="O2989" s="504"/>
    </row>
    <row r="2990" ht="53.25" customHeight="1">
      <c r="O2990" s="504"/>
    </row>
    <row r="2991" ht="53.25" customHeight="1">
      <c r="O2991" s="504"/>
    </row>
    <row r="2992" ht="53.25" customHeight="1">
      <c r="O2992" s="504"/>
    </row>
    <row r="2993" ht="53.25" customHeight="1">
      <c r="O2993" s="504"/>
    </row>
    <row r="2994" ht="53.25" customHeight="1">
      <c r="O2994" s="504"/>
    </row>
    <row r="2995" ht="53.25" customHeight="1">
      <c r="O2995" s="504"/>
    </row>
    <row r="2996" ht="53.25" customHeight="1">
      <c r="O2996" s="504"/>
    </row>
    <row r="2997" ht="53.25" customHeight="1">
      <c r="O2997" s="504"/>
    </row>
    <row r="2998" ht="53.25" customHeight="1">
      <c r="O2998" s="504"/>
    </row>
    <row r="2999" ht="53.25" customHeight="1">
      <c r="O2999" s="504"/>
    </row>
    <row r="3000" ht="53.25" customHeight="1">
      <c r="O3000" s="504"/>
    </row>
    <row r="3001" ht="53.25" customHeight="1">
      <c r="O3001" s="504"/>
    </row>
    <row r="3002" ht="53.25" customHeight="1">
      <c r="O3002" s="504"/>
    </row>
    <row r="3003" ht="53.25" customHeight="1">
      <c r="O3003" s="504"/>
    </row>
    <row r="3004" ht="53.25" customHeight="1">
      <c r="O3004" s="504"/>
    </row>
    <row r="3005" ht="53.25" customHeight="1">
      <c r="O3005" s="504"/>
    </row>
    <row r="3006" ht="53.25" customHeight="1">
      <c r="O3006" s="504"/>
    </row>
    <row r="3007" ht="53.25" customHeight="1">
      <c r="O3007" s="504"/>
    </row>
    <row r="3008" ht="53.25" customHeight="1">
      <c r="O3008" s="504"/>
    </row>
    <row r="3009" ht="53.25" customHeight="1">
      <c r="O3009" s="504"/>
    </row>
    <row r="3010" ht="53.25" customHeight="1">
      <c r="O3010" s="504"/>
    </row>
    <row r="3011" ht="53.25" customHeight="1">
      <c r="O3011" s="504"/>
    </row>
    <row r="3012" ht="53.25" customHeight="1">
      <c r="O3012" s="504"/>
    </row>
    <row r="3013" ht="53.25" customHeight="1">
      <c r="O3013" s="504"/>
    </row>
    <row r="3014" ht="53.25" customHeight="1">
      <c r="O3014" s="504"/>
    </row>
    <row r="3015" ht="53.25" customHeight="1">
      <c r="O3015" s="504"/>
    </row>
    <row r="3016" ht="53.25" customHeight="1">
      <c r="O3016" s="504"/>
    </row>
    <row r="3017" ht="53.25" customHeight="1">
      <c r="O3017" s="504"/>
    </row>
    <row r="3018" ht="53.25" customHeight="1">
      <c r="O3018" s="504"/>
    </row>
    <row r="3019" ht="53.25" customHeight="1">
      <c r="O3019" s="504"/>
    </row>
    <row r="3020" ht="53.25" customHeight="1">
      <c r="O3020" s="504"/>
    </row>
    <row r="3021" ht="53.25" customHeight="1">
      <c r="O3021" s="504"/>
    </row>
    <row r="3022" ht="53.25" customHeight="1">
      <c r="O3022" s="504"/>
    </row>
    <row r="3023" ht="53.25" customHeight="1">
      <c r="O3023" s="504"/>
    </row>
    <row r="3024" ht="53.25" customHeight="1">
      <c r="O3024" s="504"/>
    </row>
    <row r="3025" ht="53.25" customHeight="1">
      <c r="O3025" s="504"/>
    </row>
    <row r="3026" ht="53.25" customHeight="1">
      <c r="O3026" s="504"/>
    </row>
    <row r="3027" ht="53.25" customHeight="1">
      <c r="O3027" s="504"/>
    </row>
    <row r="3028" ht="53.25" customHeight="1">
      <c r="O3028" s="504"/>
    </row>
    <row r="3029" ht="53.25" customHeight="1">
      <c r="O3029" s="504"/>
    </row>
    <row r="3030" ht="53.25" customHeight="1">
      <c r="O3030" s="504"/>
    </row>
    <row r="3031" ht="53.25" customHeight="1">
      <c r="O3031" s="504"/>
    </row>
    <row r="3032" ht="53.25" customHeight="1">
      <c r="O3032" s="504"/>
    </row>
    <row r="3033" ht="53.25" customHeight="1">
      <c r="O3033" s="504"/>
    </row>
    <row r="3034" ht="53.25" customHeight="1">
      <c r="O3034" s="504"/>
    </row>
    <row r="3035" ht="53.25" customHeight="1">
      <c r="O3035" s="504"/>
    </row>
    <row r="3036" ht="53.25" customHeight="1">
      <c r="O3036" s="504"/>
    </row>
    <row r="3037" ht="53.25" customHeight="1">
      <c r="O3037" s="504"/>
    </row>
    <row r="3038" ht="53.25" customHeight="1">
      <c r="O3038" s="504"/>
    </row>
    <row r="3039" ht="53.25" customHeight="1">
      <c r="O3039" s="504"/>
    </row>
    <row r="3040" ht="53.25" customHeight="1">
      <c r="O3040" s="504"/>
    </row>
    <row r="3041" ht="53.25" customHeight="1">
      <c r="O3041" s="504"/>
    </row>
    <row r="3042" ht="53.25" customHeight="1">
      <c r="O3042" s="504"/>
    </row>
    <row r="3043" ht="53.25" customHeight="1">
      <c r="O3043" s="504"/>
    </row>
    <row r="3044" ht="53.25" customHeight="1">
      <c r="O3044" s="504"/>
    </row>
    <row r="3045" ht="53.25" customHeight="1">
      <c r="O3045" s="504"/>
    </row>
    <row r="3046" ht="53.25" customHeight="1">
      <c r="O3046" s="504"/>
    </row>
    <row r="3047" ht="53.25" customHeight="1">
      <c r="O3047" s="504"/>
    </row>
    <row r="3048" ht="53.25" customHeight="1">
      <c r="O3048" s="504"/>
    </row>
    <row r="3049" ht="53.25" customHeight="1">
      <c r="O3049" s="504"/>
    </row>
    <row r="3050" ht="53.25" customHeight="1">
      <c r="O3050" s="504"/>
    </row>
    <row r="3051" ht="53.25" customHeight="1">
      <c r="O3051" s="504"/>
    </row>
    <row r="3052" ht="53.25" customHeight="1">
      <c r="O3052" s="504"/>
    </row>
    <row r="3053" ht="53.25" customHeight="1">
      <c r="O3053" s="504"/>
    </row>
    <row r="3054" ht="53.25" customHeight="1">
      <c r="O3054" s="504"/>
    </row>
    <row r="3055" ht="53.25" customHeight="1">
      <c r="O3055" s="504"/>
    </row>
    <row r="3056" ht="53.25" customHeight="1">
      <c r="O3056" s="504"/>
    </row>
    <row r="3057" ht="53.25" customHeight="1">
      <c r="O3057" s="504"/>
    </row>
    <row r="3058" ht="53.25" customHeight="1">
      <c r="O3058" s="504"/>
    </row>
    <row r="3059" ht="53.25" customHeight="1">
      <c r="O3059" s="504"/>
    </row>
    <row r="3060" ht="53.25" customHeight="1">
      <c r="O3060" s="504"/>
    </row>
    <row r="3061" ht="53.25" customHeight="1">
      <c r="O3061" s="504"/>
    </row>
    <row r="3062" ht="53.25" customHeight="1">
      <c r="O3062" s="504"/>
    </row>
    <row r="3063" ht="53.25" customHeight="1">
      <c r="O3063" s="504"/>
    </row>
    <row r="3064" ht="53.25" customHeight="1">
      <c r="O3064" s="504"/>
    </row>
    <row r="3065" ht="53.25" customHeight="1">
      <c r="O3065" s="504"/>
    </row>
    <row r="3066" ht="53.25" customHeight="1">
      <c r="O3066" s="504"/>
    </row>
    <row r="3067" ht="53.25" customHeight="1">
      <c r="O3067" s="504"/>
    </row>
    <row r="3068" ht="53.25" customHeight="1">
      <c r="O3068" s="504"/>
    </row>
    <row r="3069" ht="53.25" customHeight="1">
      <c r="O3069" s="504"/>
    </row>
    <row r="3070" ht="53.25" customHeight="1">
      <c r="O3070" s="504"/>
    </row>
    <row r="3071" ht="53.25" customHeight="1">
      <c r="O3071" s="504"/>
    </row>
    <row r="3072" ht="53.25" customHeight="1">
      <c r="O3072" s="504"/>
    </row>
    <row r="3073" ht="53.25" customHeight="1">
      <c r="O3073" s="504"/>
    </row>
    <row r="3074" ht="53.25" customHeight="1">
      <c r="O3074" s="504"/>
    </row>
    <row r="3075" ht="53.25" customHeight="1">
      <c r="O3075" s="504"/>
    </row>
    <row r="3076" ht="53.25" customHeight="1">
      <c r="O3076" s="504"/>
    </row>
    <row r="3077" ht="53.25" customHeight="1">
      <c r="O3077" s="504"/>
    </row>
    <row r="3078" ht="53.25" customHeight="1">
      <c r="O3078" s="504"/>
    </row>
    <row r="3079" ht="53.25" customHeight="1">
      <c r="O3079" s="504"/>
    </row>
    <row r="3080" ht="53.25" customHeight="1">
      <c r="O3080" s="504"/>
    </row>
    <row r="3081" ht="53.25" customHeight="1">
      <c r="O3081" s="504"/>
    </row>
    <row r="3082" ht="53.25" customHeight="1">
      <c r="O3082" s="504"/>
    </row>
    <row r="3083" ht="53.25" customHeight="1">
      <c r="O3083" s="504"/>
    </row>
    <row r="3084" ht="53.25" customHeight="1">
      <c r="O3084" s="504"/>
    </row>
    <row r="3085" ht="53.25" customHeight="1">
      <c r="O3085" s="504"/>
    </row>
    <row r="3086" ht="53.25" customHeight="1">
      <c r="O3086" s="504"/>
    </row>
    <row r="3087" ht="53.25" customHeight="1">
      <c r="O3087" s="504"/>
    </row>
    <row r="3088" ht="53.25" customHeight="1">
      <c r="O3088" s="504"/>
    </row>
    <row r="3089" ht="53.25" customHeight="1">
      <c r="O3089" s="504"/>
    </row>
    <row r="3090" ht="53.25" customHeight="1">
      <c r="O3090" s="504"/>
    </row>
    <row r="3091" ht="53.25" customHeight="1">
      <c r="O3091" s="504"/>
    </row>
    <row r="3092" ht="53.25" customHeight="1">
      <c r="O3092" s="504"/>
    </row>
    <row r="3093" ht="53.25" customHeight="1">
      <c r="O3093" s="504"/>
    </row>
    <row r="3094" ht="53.25" customHeight="1">
      <c r="O3094" s="504"/>
    </row>
    <row r="3095" ht="53.25" customHeight="1">
      <c r="O3095" s="504"/>
    </row>
    <row r="3096" ht="53.25" customHeight="1">
      <c r="O3096" s="504"/>
    </row>
    <row r="3097" ht="53.25" customHeight="1">
      <c r="O3097" s="504"/>
    </row>
    <row r="3098" ht="53.25" customHeight="1">
      <c r="O3098" s="504"/>
    </row>
    <row r="3099" ht="53.25" customHeight="1">
      <c r="O3099" s="504"/>
    </row>
    <row r="3100" ht="53.25" customHeight="1">
      <c r="O3100" s="504"/>
    </row>
    <row r="3101" ht="53.25" customHeight="1">
      <c r="O3101" s="504"/>
    </row>
    <row r="3102" ht="53.25" customHeight="1">
      <c r="O3102" s="504"/>
    </row>
    <row r="3103" ht="53.25" customHeight="1">
      <c r="O3103" s="504"/>
    </row>
    <row r="3104" ht="53.25" customHeight="1">
      <c r="O3104" s="504"/>
    </row>
    <row r="3105" ht="53.25" customHeight="1">
      <c r="O3105" s="504"/>
    </row>
    <row r="3106" ht="53.25" customHeight="1">
      <c r="O3106" s="504"/>
    </row>
    <row r="3107" ht="53.25" customHeight="1">
      <c r="O3107" s="504"/>
    </row>
    <row r="3108" ht="53.25" customHeight="1">
      <c r="O3108" s="504"/>
    </row>
    <row r="3109" ht="53.25" customHeight="1">
      <c r="O3109" s="504"/>
    </row>
    <row r="3110" ht="53.25" customHeight="1">
      <c r="O3110" s="504"/>
    </row>
    <row r="3111" ht="53.25" customHeight="1">
      <c r="O3111" s="504"/>
    </row>
    <row r="3112" ht="53.25" customHeight="1">
      <c r="O3112" s="504"/>
    </row>
    <row r="3113" ht="53.25" customHeight="1">
      <c r="O3113" s="504"/>
    </row>
    <row r="3114" ht="53.25" customHeight="1">
      <c r="O3114" s="504"/>
    </row>
    <row r="3115" ht="53.25" customHeight="1">
      <c r="O3115" s="504"/>
    </row>
    <row r="3116" ht="53.25" customHeight="1">
      <c r="O3116" s="504"/>
    </row>
    <row r="3117" ht="53.25" customHeight="1">
      <c r="O3117" s="504"/>
    </row>
    <row r="3118" ht="53.25" customHeight="1">
      <c r="O3118" s="504"/>
    </row>
    <row r="3119" ht="53.25" customHeight="1">
      <c r="O3119" s="504"/>
    </row>
    <row r="3120" ht="53.25" customHeight="1">
      <c r="O3120" s="504"/>
    </row>
    <row r="3121" ht="53.25" customHeight="1">
      <c r="O3121" s="504"/>
    </row>
    <row r="3122" ht="53.25" customHeight="1">
      <c r="O3122" s="504"/>
    </row>
    <row r="3123" ht="53.25" customHeight="1">
      <c r="O3123" s="504"/>
    </row>
    <row r="3124" ht="53.25" customHeight="1">
      <c r="O3124" s="504"/>
    </row>
    <row r="3125" ht="53.25" customHeight="1">
      <c r="O3125" s="504"/>
    </row>
    <row r="3126" ht="53.25" customHeight="1">
      <c r="O3126" s="504"/>
    </row>
    <row r="3127" ht="53.25" customHeight="1">
      <c r="O3127" s="504"/>
    </row>
    <row r="3128" ht="53.25" customHeight="1">
      <c r="O3128" s="504"/>
    </row>
    <row r="3129" ht="53.25" customHeight="1">
      <c r="O3129" s="504"/>
    </row>
    <row r="3130" ht="53.25" customHeight="1">
      <c r="O3130" s="504"/>
    </row>
    <row r="3131" ht="53.25" customHeight="1">
      <c r="O3131" s="504"/>
    </row>
    <row r="3132" ht="53.25" customHeight="1">
      <c r="O3132" s="504"/>
    </row>
    <row r="3133" ht="53.25" customHeight="1">
      <c r="O3133" s="504"/>
    </row>
    <row r="3134" ht="53.25" customHeight="1">
      <c r="O3134" s="504"/>
    </row>
    <row r="3135" ht="53.25" customHeight="1">
      <c r="O3135" s="504"/>
    </row>
    <row r="3136" ht="53.25" customHeight="1">
      <c r="O3136" s="504"/>
    </row>
    <row r="3137" ht="53.25" customHeight="1">
      <c r="O3137" s="504"/>
    </row>
    <row r="3138" ht="53.25" customHeight="1">
      <c r="O3138" s="504"/>
    </row>
    <row r="3139" ht="53.25" customHeight="1">
      <c r="O3139" s="504"/>
    </row>
    <row r="3140" ht="53.25" customHeight="1">
      <c r="O3140" s="504"/>
    </row>
    <row r="3141" ht="53.25" customHeight="1">
      <c r="O3141" s="504"/>
    </row>
    <row r="3142" ht="53.25" customHeight="1">
      <c r="O3142" s="504"/>
    </row>
    <row r="3143" ht="53.25" customHeight="1">
      <c r="O3143" s="504"/>
    </row>
    <row r="3144" ht="53.25" customHeight="1">
      <c r="O3144" s="504"/>
    </row>
    <row r="3145" ht="53.25" customHeight="1">
      <c r="O3145" s="504"/>
    </row>
    <row r="3146" ht="53.25" customHeight="1">
      <c r="O3146" s="504"/>
    </row>
    <row r="3147" ht="53.25" customHeight="1">
      <c r="O3147" s="504"/>
    </row>
    <row r="3148" ht="53.25" customHeight="1">
      <c r="O3148" s="504"/>
    </row>
    <row r="3149" ht="53.25" customHeight="1">
      <c r="O3149" s="504"/>
    </row>
    <row r="3150" ht="53.25" customHeight="1">
      <c r="O3150" s="504"/>
    </row>
    <row r="3151" ht="53.25" customHeight="1">
      <c r="O3151" s="504"/>
    </row>
    <row r="3152" ht="53.25" customHeight="1">
      <c r="O3152" s="504"/>
    </row>
    <row r="3153" ht="53.25" customHeight="1">
      <c r="O3153" s="504"/>
    </row>
    <row r="3154" ht="53.25" customHeight="1">
      <c r="O3154" s="504"/>
    </row>
    <row r="3155" ht="53.25" customHeight="1">
      <c r="O3155" s="504"/>
    </row>
    <row r="3156" ht="53.25" customHeight="1">
      <c r="O3156" s="504"/>
    </row>
    <row r="3157" ht="53.25" customHeight="1">
      <c r="O3157" s="504"/>
    </row>
    <row r="3158" ht="53.25" customHeight="1">
      <c r="O3158" s="504"/>
    </row>
    <row r="3159" ht="53.25" customHeight="1">
      <c r="O3159" s="504"/>
    </row>
    <row r="3160" ht="53.25" customHeight="1">
      <c r="O3160" s="504"/>
    </row>
    <row r="3161" ht="53.25" customHeight="1">
      <c r="O3161" s="504"/>
    </row>
    <row r="3162" ht="53.25" customHeight="1">
      <c r="O3162" s="504"/>
    </row>
    <row r="3163" ht="53.25" customHeight="1">
      <c r="O3163" s="504"/>
    </row>
    <row r="3164" ht="53.25" customHeight="1">
      <c r="O3164" s="504"/>
    </row>
    <row r="3165" ht="53.25" customHeight="1">
      <c r="O3165" s="504"/>
    </row>
    <row r="3166" ht="53.25" customHeight="1">
      <c r="O3166" s="504"/>
    </row>
    <row r="3167" ht="53.25" customHeight="1">
      <c r="O3167" s="504"/>
    </row>
    <row r="3168" ht="53.25" customHeight="1">
      <c r="O3168" s="504"/>
    </row>
    <row r="3169" ht="53.25" customHeight="1">
      <c r="O3169" s="504"/>
    </row>
    <row r="3170" ht="53.25" customHeight="1">
      <c r="O3170" s="504"/>
    </row>
    <row r="3171" ht="53.25" customHeight="1">
      <c r="O3171" s="504"/>
    </row>
    <row r="3172" ht="53.25" customHeight="1">
      <c r="O3172" s="504"/>
    </row>
    <row r="3173" ht="53.25" customHeight="1">
      <c r="O3173" s="504"/>
    </row>
    <row r="3174" ht="53.25" customHeight="1">
      <c r="O3174" s="504"/>
    </row>
    <row r="3175" ht="53.25" customHeight="1">
      <c r="O3175" s="504"/>
    </row>
    <row r="3176" ht="53.25" customHeight="1">
      <c r="O3176" s="504"/>
    </row>
    <row r="3177" ht="53.25" customHeight="1">
      <c r="O3177" s="504"/>
    </row>
    <row r="3178" ht="53.25" customHeight="1">
      <c r="O3178" s="504"/>
    </row>
    <row r="3179" ht="53.25" customHeight="1">
      <c r="O3179" s="504"/>
    </row>
    <row r="3180" ht="53.25" customHeight="1">
      <c r="O3180" s="504"/>
    </row>
    <row r="3181" ht="53.25" customHeight="1">
      <c r="O3181" s="504"/>
    </row>
    <row r="3182" ht="53.25" customHeight="1">
      <c r="O3182" s="504"/>
    </row>
    <row r="3183" ht="53.25" customHeight="1">
      <c r="O3183" s="504"/>
    </row>
    <row r="3184" ht="53.25" customHeight="1">
      <c r="O3184" s="504"/>
    </row>
    <row r="3185" ht="53.25" customHeight="1">
      <c r="O3185" s="504"/>
    </row>
    <row r="3186" ht="53.25" customHeight="1">
      <c r="O3186" s="504"/>
    </row>
    <row r="3187" ht="53.25" customHeight="1">
      <c r="O3187" s="504"/>
    </row>
    <row r="3188" ht="53.25" customHeight="1">
      <c r="O3188" s="504"/>
    </row>
    <row r="3189" ht="53.25" customHeight="1">
      <c r="O3189" s="504"/>
    </row>
    <row r="3190" ht="53.25" customHeight="1">
      <c r="O3190" s="504"/>
    </row>
    <row r="3191" ht="53.25" customHeight="1">
      <c r="O3191" s="504"/>
    </row>
    <row r="3192" ht="53.25" customHeight="1">
      <c r="O3192" s="504"/>
    </row>
    <row r="3193" ht="53.25" customHeight="1">
      <c r="O3193" s="504"/>
    </row>
    <row r="3194" ht="53.25" customHeight="1">
      <c r="O3194" s="504"/>
    </row>
    <row r="3195" ht="53.25" customHeight="1">
      <c r="O3195" s="504"/>
    </row>
    <row r="3196" ht="53.25" customHeight="1">
      <c r="O3196" s="504"/>
    </row>
    <row r="3197" ht="53.25" customHeight="1">
      <c r="O3197" s="504"/>
    </row>
    <row r="3198" ht="53.25" customHeight="1">
      <c r="O3198" s="504"/>
    </row>
    <row r="3199" ht="53.25" customHeight="1">
      <c r="O3199" s="504"/>
    </row>
    <row r="3200" ht="53.25" customHeight="1">
      <c r="O3200" s="504"/>
    </row>
    <row r="3201" ht="53.25" customHeight="1">
      <c r="O3201" s="504"/>
    </row>
    <row r="3202" ht="53.25" customHeight="1">
      <c r="O3202" s="504"/>
    </row>
    <row r="3203" ht="53.25" customHeight="1">
      <c r="O3203" s="504"/>
    </row>
    <row r="3204" ht="53.25" customHeight="1">
      <c r="O3204" s="504"/>
    </row>
    <row r="3205" ht="53.25" customHeight="1">
      <c r="O3205" s="504"/>
    </row>
    <row r="3206" ht="53.25" customHeight="1">
      <c r="O3206" s="504"/>
    </row>
    <row r="3207" ht="53.25" customHeight="1">
      <c r="O3207" s="504"/>
    </row>
    <row r="3208" ht="53.25" customHeight="1">
      <c r="O3208" s="504"/>
    </row>
    <row r="3209" ht="53.25" customHeight="1">
      <c r="O3209" s="504"/>
    </row>
    <row r="3210" ht="53.25" customHeight="1">
      <c r="O3210" s="504"/>
    </row>
    <row r="3211" ht="53.25" customHeight="1">
      <c r="O3211" s="504"/>
    </row>
    <row r="3212" ht="53.25" customHeight="1">
      <c r="O3212" s="504"/>
    </row>
    <row r="3213" ht="53.25" customHeight="1">
      <c r="O3213" s="504"/>
    </row>
    <row r="3214" ht="53.25" customHeight="1">
      <c r="O3214" s="504"/>
    </row>
    <row r="3215" ht="53.25" customHeight="1">
      <c r="O3215" s="504"/>
    </row>
    <row r="3216" ht="53.25" customHeight="1">
      <c r="O3216" s="504"/>
    </row>
    <row r="3217" ht="53.25" customHeight="1">
      <c r="O3217" s="504"/>
    </row>
    <row r="3218" ht="53.25" customHeight="1">
      <c r="O3218" s="504"/>
    </row>
    <row r="3219" ht="53.25" customHeight="1">
      <c r="O3219" s="504"/>
    </row>
    <row r="3220" ht="53.25" customHeight="1">
      <c r="O3220" s="504"/>
    </row>
    <row r="3221" ht="53.25" customHeight="1">
      <c r="O3221" s="504"/>
    </row>
    <row r="3222" ht="53.25" customHeight="1">
      <c r="O3222" s="504"/>
    </row>
    <row r="3223" ht="53.25" customHeight="1">
      <c r="O3223" s="504"/>
    </row>
    <row r="3224" ht="53.25" customHeight="1">
      <c r="O3224" s="504"/>
    </row>
    <row r="3225" ht="53.25" customHeight="1">
      <c r="O3225" s="504"/>
    </row>
    <row r="3226" ht="53.25" customHeight="1">
      <c r="O3226" s="504"/>
    </row>
    <row r="3227" ht="53.25" customHeight="1">
      <c r="O3227" s="504"/>
    </row>
    <row r="3228" ht="53.25" customHeight="1">
      <c r="O3228" s="504"/>
    </row>
    <row r="3229" ht="53.25" customHeight="1">
      <c r="O3229" s="504"/>
    </row>
    <row r="3230" ht="53.25" customHeight="1">
      <c r="O3230" s="504"/>
    </row>
    <row r="3231" ht="53.25" customHeight="1">
      <c r="O3231" s="504"/>
    </row>
    <row r="3232" ht="53.25" customHeight="1">
      <c r="O3232" s="504"/>
    </row>
    <row r="3233" ht="53.25" customHeight="1">
      <c r="O3233" s="504"/>
    </row>
    <row r="3234" ht="53.25" customHeight="1">
      <c r="O3234" s="504"/>
    </row>
    <row r="3235" ht="53.25" customHeight="1">
      <c r="O3235" s="504"/>
    </row>
    <row r="3236" ht="53.25" customHeight="1">
      <c r="O3236" s="504"/>
    </row>
    <row r="3237" ht="53.25" customHeight="1">
      <c r="O3237" s="504"/>
    </row>
    <row r="3238" ht="53.25" customHeight="1">
      <c r="O3238" s="504"/>
    </row>
    <row r="3239" ht="53.25" customHeight="1">
      <c r="O3239" s="504"/>
    </row>
    <row r="3240" ht="53.25" customHeight="1">
      <c r="O3240" s="504"/>
    </row>
    <row r="3241" ht="53.25" customHeight="1">
      <c r="O3241" s="504"/>
    </row>
    <row r="3242" ht="53.25" customHeight="1">
      <c r="O3242" s="504"/>
    </row>
    <row r="3243" ht="53.25" customHeight="1">
      <c r="O3243" s="504"/>
    </row>
    <row r="3244" ht="53.25" customHeight="1">
      <c r="O3244" s="504"/>
    </row>
    <row r="3245" ht="53.25" customHeight="1">
      <c r="O3245" s="504"/>
    </row>
    <row r="3246" ht="53.25" customHeight="1">
      <c r="O3246" s="504"/>
    </row>
    <row r="3247" ht="53.25" customHeight="1">
      <c r="O3247" s="504"/>
    </row>
    <row r="3248" ht="53.25" customHeight="1">
      <c r="O3248" s="504"/>
    </row>
    <row r="3249" ht="53.25" customHeight="1">
      <c r="O3249" s="504"/>
    </row>
    <row r="3250" ht="53.25" customHeight="1">
      <c r="O3250" s="504"/>
    </row>
    <row r="3251" ht="53.25" customHeight="1">
      <c r="O3251" s="504"/>
    </row>
    <row r="3252" ht="53.25" customHeight="1">
      <c r="O3252" s="504"/>
    </row>
    <row r="3253" ht="53.25" customHeight="1">
      <c r="O3253" s="504"/>
    </row>
    <row r="3254" ht="53.25" customHeight="1">
      <c r="O3254" s="504"/>
    </row>
    <row r="3255" ht="53.25" customHeight="1">
      <c r="O3255" s="504"/>
    </row>
    <row r="3256" ht="53.25" customHeight="1">
      <c r="O3256" s="504"/>
    </row>
    <row r="3257" ht="53.25" customHeight="1">
      <c r="O3257" s="504"/>
    </row>
    <row r="3258" ht="53.25" customHeight="1">
      <c r="O3258" s="504"/>
    </row>
    <row r="3259" ht="53.25" customHeight="1">
      <c r="O3259" s="504"/>
    </row>
    <row r="3260" ht="53.25" customHeight="1">
      <c r="O3260" s="504"/>
    </row>
    <row r="3261" ht="53.25" customHeight="1">
      <c r="O3261" s="504"/>
    </row>
    <row r="3262" ht="53.25" customHeight="1">
      <c r="O3262" s="504"/>
    </row>
    <row r="3263" ht="53.25" customHeight="1">
      <c r="O3263" s="504"/>
    </row>
    <row r="3264" ht="53.25" customHeight="1">
      <c r="O3264" s="504"/>
    </row>
    <row r="3265" ht="53.25" customHeight="1">
      <c r="O3265" s="504"/>
    </row>
    <row r="3266" ht="53.25" customHeight="1">
      <c r="O3266" s="504"/>
    </row>
    <row r="3267" ht="53.25" customHeight="1">
      <c r="O3267" s="504"/>
    </row>
    <row r="3268" ht="53.25" customHeight="1">
      <c r="O3268" s="504"/>
    </row>
    <row r="3269" ht="53.25" customHeight="1">
      <c r="O3269" s="504"/>
    </row>
    <row r="3270" ht="53.25" customHeight="1">
      <c r="O3270" s="504"/>
    </row>
    <row r="3271" ht="53.25" customHeight="1">
      <c r="O3271" s="504"/>
    </row>
    <row r="3272" ht="53.25" customHeight="1">
      <c r="O3272" s="504"/>
    </row>
    <row r="3273" ht="53.25" customHeight="1">
      <c r="O3273" s="504"/>
    </row>
    <row r="3274" ht="53.25" customHeight="1">
      <c r="O3274" s="504"/>
    </row>
    <row r="3275" ht="53.25" customHeight="1">
      <c r="O3275" s="504"/>
    </row>
    <row r="3276" ht="53.25" customHeight="1">
      <c r="O3276" s="504"/>
    </row>
    <row r="3277" ht="53.25" customHeight="1">
      <c r="O3277" s="504"/>
    </row>
    <row r="3278" ht="53.25" customHeight="1">
      <c r="O3278" s="504"/>
    </row>
    <row r="3279" ht="53.25" customHeight="1">
      <c r="O3279" s="504"/>
    </row>
    <row r="3280" ht="53.25" customHeight="1">
      <c r="O3280" s="504"/>
    </row>
    <row r="3281" ht="53.25" customHeight="1">
      <c r="O3281" s="504"/>
    </row>
    <row r="3282" ht="53.25" customHeight="1">
      <c r="O3282" s="504"/>
    </row>
    <row r="3283" ht="53.25" customHeight="1">
      <c r="O3283" s="504"/>
    </row>
    <row r="3284" ht="53.25" customHeight="1">
      <c r="O3284" s="504"/>
    </row>
    <row r="3285" ht="53.25" customHeight="1">
      <c r="O3285" s="504"/>
    </row>
    <row r="3286" ht="53.25" customHeight="1">
      <c r="O3286" s="504"/>
    </row>
    <row r="3287" ht="53.25" customHeight="1">
      <c r="O3287" s="504"/>
    </row>
    <row r="3288" ht="53.25" customHeight="1">
      <c r="O3288" s="504"/>
    </row>
    <row r="3289" ht="53.25" customHeight="1">
      <c r="O3289" s="504"/>
    </row>
    <row r="3290" ht="53.25" customHeight="1">
      <c r="O3290" s="504"/>
    </row>
    <row r="3291" ht="53.25" customHeight="1">
      <c r="O3291" s="504"/>
    </row>
    <row r="3292" ht="53.25" customHeight="1">
      <c r="O3292" s="504"/>
    </row>
    <row r="3293" ht="53.25" customHeight="1">
      <c r="O3293" s="504"/>
    </row>
    <row r="3294" ht="53.25" customHeight="1">
      <c r="O3294" s="504"/>
    </row>
    <row r="3295" ht="53.25" customHeight="1">
      <c r="O3295" s="504"/>
    </row>
    <row r="3296" ht="53.25" customHeight="1">
      <c r="O3296" s="504"/>
    </row>
    <row r="3297" ht="53.25" customHeight="1">
      <c r="O3297" s="504"/>
    </row>
    <row r="3298" ht="53.25" customHeight="1">
      <c r="O3298" s="504"/>
    </row>
    <row r="3299" ht="53.25" customHeight="1">
      <c r="O3299" s="504"/>
    </row>
    <row r="3300" ht="53.25" customHeight="1">
      <c r="O3300" s="504"/>
    </row>
    <row r="3301" ht="53.25" customHeight="1">
      <c r="O3301" s="504"/>
    </row>
    <row r="3302" ht="53.25" customHeight="1">
      <c r="O3302" s="504"/>
    </row>
    <row r="3303" ht="53.25" customHeight="1">
      <c r="O3303" s="504"/>
    </row>
    <row r="3304" ht="53.25" customHeight="1">
      <c r="O3304" s="504"/>
    </row>
    <row r="3305" ht="53.25" customHeight="1">
      <c r="O3305" s="504"/>
    </row>
    <row r="3306" ht="53.25" customHeight="1">
      <c r="O3306" s="504"/>
    </row>
    <row r="3307" ht="53.25" customHeight="1">
      <c r="O3307" s="504"/>
    </row>
    <row r="3308" ht="53.25" customHeight="1">
      <c r="O3308" s="504"/>
    </row>
    <row r="3309" ht="53.25" customHeight="1">
      <c r="O3309" s="504"/>
    </row>
    <row r="3310" ht="53.25" customHeight="1">
      <c r="O3310" s="504"/>
    </row>
    <row r="3311" ht="53.25" customHeight="1">
      <c r="O3311" s="504"/>
    </row>
    <row r="3312" ht="53.25" customHeight="1">
      <c r="O3312" s="504"/>
    </row>
    <row r="3313" ht="53.25" customHeight="1">
      <c r="O3313" s="504"/>
    </row>
    <row r="3314" ht="53.25" customHeight="1">
      <c r="O3314" s="504"/>
    </row>
    <row r="3315" ht="53.25" customHeight="1">
      <c r="O3315" s="504"/>
    </row>
    <row r="3316" ht="53.25" customHeight="1">
      <c r="O3316" s="504"/>
    </row>
    <row r="3317" ht="53.25" customHeight="1">
      <c r="O3317" s="504"/>
    </row>
    <row r="3318" ht="53.25" customHeight="1">
      <c r="O3318" s="504"/>
    </row>
    <row r="3319" ht="53.25" customHeight="1">
      <c r="O3319" s="504"/>
    </row>
    <row r="3320" ht="53.25" customHeight="1">
      <c r="O3320" s="504"/>
    </row>
    <row r="3321" ht="53.25" customHeight="1">
      <c r="O3321" s="504"/>
    </row>
    <row r="3322" ht="53.25" customHeight="1">
      <c r="O3322" s="504"/>
    </row>
    <row r="3323" ht="53.25" customHeight="1">
      <c r="O3323" s="504"/>
    </row>
    <row r="3324" ht="53.25" customHeight="1">
      <c r="O3324" s="504"/>
    </row>
    <row r="3325" ht="53.25" customHeight="1">
      <c r="O3325" s="504"/>
    </row>
    <row r="3326" ht="53.25" customHeight="1">
      <c r="O3326" s="504"/>
    </row>
    <row r="3327" ht="53.25" customHeight="1">
      <c r="O3327" s="504"/>
    </row>
    <row r="3328" ht="53.25" customHeight="1">
      <c r="O3328" s="504"/>
    </row>
    <row r="3329" ht="53.25" customHeight="1">
      <c r="O3329" s="504"/>
    </row>
    <row r="3330" ht="53.25" customHeight="1">
      <c r="O3330" s="504"/>
    </row>
    <row r="3331" ht="53.25" customHeight="1">
      <c r="O3331" s="504"/>
    </row>
    <row r="3332" ht="53.25" customHeight="1">
      <c r="O3332" s="504"/>
    </row>
    <row r="3333" ht="53.25" customHeight="1">
      <c r="O3333" s="504"/>
    </row>
    <row r="3334" ht="53.25" customHeight="1">
      <c r="O3334" s="504"/>
    </row>
    <row r="3335" ht="53.25" customHeight="1">
      <c r="O3335" s="504"/>
    </row>
    <row r="3336" ht="53.25" customHeight="1">
      <c r="O3336" s="504"/>
    </row>
    <row r="3337" ht="53.25" customHeight="1">
      <c r="O3337" s="504"/>
    </row>
    <row r="3338" ht="53.25" customHeight="1">
      <c r="O3338" s="504"/>
    </row>
    <row r="3339" ht="53.25" customHeight="1">
      <c r="O3339" s="504"/>
    </row>
    <row r="3340" ht="53.25" customHeight="1">
      <c r="O3340" s="504"/>
    </row>
    <row r="3341" ht="53.25" customHeight="1">
      <c r="O3341" s="504"/>
    </row>
    <row r="3342" ht="53.25" customHeight="1">
      <c r="O3342" s="504"/>
    </row>
    <row r="3343" ht="53.25" customHeight="1">
      <c r="O3343" s="504"/>
    </row>
    <row r="3344" ht="53.25" customHeight="1">
      <c r="O3344" s="504"/>
    </row>
    <row r="3345" ht="53.25" customHeight="1">
      <c r="O3345" s="504"/>
    </row>
    <row r="3346" ht="53.25" customHeight="1">
      <c r="O3346" s="504"/>
    </row>
    <row r="3347" ht="53.25" customHeight="1">
      <c r="O3347" s="504"/>
    </row>
    <row r="3348" ht="53.25" customHeight="1">
      <c r="O3348" s="504"/>
    </row>
    <row r="3349" ht="53.25" customHeight="1">
      <c r="O3349" s="504"/>
    </row>
    <row r="3350" ht="53.25" customHeight="1">
      <c r="O3350" s="504"/>
    </row>
    <row r="3351" ht="53.25" customHeight="1">
      <c r="O3351" s="504"/>
    </row>
    <row r="3352" ht="53.25" customHeight="1">
      <c r="O3352" s="504"/>
    </row>
    <row r="3353" ht="53.25" customHeight="1">
      <c r="O3353" s="504"/>
    </row>
    <row r="3354" ht="53.25" customHeight="1">
      <c r="O3354" s="504"/>
    </row>
    <row r="3355" ht="53.25" customHeight="1">
      <c r="O3355" s="504"/>
    </row>
    <row r="3356" ht="53.25" customHeight="1">
      <c r="O3356" s="504"/>
    </row>
    <row r="3357" ht="53.25" customHeight="1">
      <c r="O3357" s="504"/>
    </row>
    <row r="3358" ht="53.25" customHeight="1">
      <c r="O3358" s="504"/>
    </row>
    <row r="3359" ht="53.25" customHeight="1">
      <c r="O3359" s="504"/>
    </row>
    <row r="3360" ht="53.25" customHeight="1">
      <c r="O3360" s="504"/>
    </row>
    <row r="3361" ht="53.25" customHeight="1">
      <c r="O3361" s="504"/>
    </row>
    <row r="3362" ht="53.25" customHeight="1">
      <c r="O3362" s="504"/>
    </row>
    <row r="3363" ht="53.25" customHeight="1">
      <c r="O3363" s="504"/>
    </row>
    <row r="3364" ht="53.25" customHeight="1">
      <c r="O3364" s="504"/>
    </row>
    <row r="3365" ht="53.25" customHeight="1">
      <c r="O3365" s="504"/>
    </row>
    <row r="3366" ht="53.25" customHeight="1">
      <c r="O3366" s="504"/>
    </row>
    <row r="3367" ht="53.25" customHeight="1">
      <c r="O3367" s="504"/>
    </row>
    <row r="3368" ht="53.25" customHeight="1">
      <c r="O3368" s="504"/>
    </row>
    <row r="3369" ht="53.25" customHeight="1">
      <c r="O3369" s="504"/>
    </row>
    <row r="3370" ht="53.25" customHeight="1">
      <c r="O3370" s="504"/>
    </row>
    <row r="3371" ht="53.25" customHeight="1">
      <c r="O3371" s="504"/>
    </row>
    <row r="3372" ht="53.25" customHeight="1">
      <c r="O3372" s="504"/>
    </row>
    <row r="3373" ht="53.25" customHeight="1">
      <c r="O3373" s="504"/>
    </row>
    <row r="3374" ht="53.25" customHeight="1">
      <c r="O3374" s="504"/>
    </row>
    <row r="3375" ht="53.25" customHeight="1">
      <c r="O3375" s="504"/>
    </row>
    <row r="3376" ht="53.25" customHeight="1">
      <c r="O3376" s="504"/>
    </row>
    <row r="3377" ht="53.25" customHeight="1">
      <c r="O3377" s="504"/>
    </row>
    <row r="3378" ht="53.25" customHeight="1">
      <c r="O3378" s="504"/>
    </row>
    <row r="3379" ht="53.25" customHeight="1">
      <c r="O3379" s="504"/>
    </row>
    <row r="3380" ht="53.25" customHeight="1">
      <c r="O3380" s="504"/>
    </row>
    <row r="3381" ht="53.25" customHeight="1">
      <c r="O3381" s="504"/>
    </row>
    <row r="3382" ht="53.25" customHeight="1">
      <c r="O3382" s="504"/>
    </row>
    <row r="3383" ht="53.25" customHeight="1">
      <c r="O3383" s="504"/>
    </row>
    <row r="3384" ht="53.25" customHeight="1">
      <c r="O3384" s="504"/>
    </row>
    <row r="3385" ht="53.25" customHeight="1">
      <c r="O3385" s="504"/>
    </row>
    <row r="3386" ht="53.25" customHeight="1">
      <c r="O3386" s="504"/>
    </row>
    <row r="3387" ht="53.25" customHeight="1">
      <c r="O3387" s="504"/>
    </row>
    <row r="3388" ht="53.25" customHeight="1">
      <c r="O3388" s="504"/>
    </row>
    <row r="3389" ht="53.25" customHeight="1">
      <c r="O3389" s="504"/>
    </row>
    <row r="3390" ht="53.25" customHeight="1">
      <c r="O3390" s="504"/>
    </row>
    <row r="3391" ht="53.25" customHeight="1">
      <c r="O3391" s="504"/>
    </row>
    <row r="3392" ht="53.25" customHeight="1">
      <c r="O3392" s="504"/>
    </row>
    <row r="3393" ht="53.25" customHeight="1">
      <c r="O3393" s="504"/>
    </row>
    <row r="3394" ht="53.25" customHeight="1">
      <c r="O3394" s="504"/>
    </row>
    <row r="3395" ht="53.25" customHeight="1">
      <c r="O3395" s="504"/>
    </row>
    <row r="3396" ht="53.25" customHeight="1">
      <c r="O3396" s="504"/>
    </row>
    <row r="3397" ht="53.25" customHeight="1">
      <c r="O3397" s="504"/>
    </row>
    <row r="3398" ht="53.25" customHeight="1">
      <c r="O3398" s="504"/>
    </row>
    <row r="3399" ht="53.25" customHeight="1">
      <c r="O3399" s="504"/>
    </row>
    <row r="3400" ht="53.25" customHeight="1">
      <c r="O3400" s="504"/>
    </row>
    <row r="3401" ht="53.25" customHeight="1">
      <c r="O3401" s="504"/>
    </row>
    <row r="3402" ht="53.25" customHeight="1">
      <c r="O3402" s="504"/>
    </row>
    <row r="3403" ht="53.25" customHeight="1">
      <c r="O3403" s="504"/>
    </row>
    <row r="3404" ht="53.25" customHeight="1">
      <c r="O3404" s="504"/>
    </row>
    <row r="3405" ht="53.25" customHeight="1">
      <c r="O3405" s="504"/>
    </row>
    <row r="3406" ht="53.25" customHeight="1">
      <c r="O3406" s="504"/>
    </row>
    <row r="3407" ht="53.25" customHeight="1">
      <c r="O3407" s="504"/>
    </row>
    <row r="3408" ht="53.25" customHeight="1">
      <c r="O3408" s="504"/>
    </row>
    <row r="3409" ht="53.25" customHeight="1">
      <c r="O3409" s="504"/>
    </row>
    <row r="3410" ht="53.25" customHeight="1">
      <c r="O3410" s="504"/>
    </row>
    <row r="3411" ht="53.25" customHeight="1">
      <c r="O3411" s="504"/>
    </row>
    <row r="3412" ht="53.25" customHeight="1">
      <c r="O3412" s="504"/>
    </row>
    <row r="3413" ht="53.25" customHeight="1">
      <c r="O3413" s="504"/>
    </row>
    <row r="3414" ht="53.25" customHeight="1">
      <c r="O3414" s="504"/>
    </row>
    <row r="3415" ht="53.25" customHeight="1">
      <c r="O3415" s="504"/>
    </row>
    <row r="3416" ht="53.25" customHeight="1">
      <c r="O3416" s="504"/>
    </row>
    <row r="3417" ht="53.25" customHeight="1">
      <c r="O3417" s="504"/>
    </row>
    <row r="3418" ht="53.25" customHeight="1">
      <c r="O3418" s="504"/>
    </row>
    <row r="3419" ht="53.25" customHeight="1">
      <c r="O3419" s="504"/>
    </row>
    <row r="3420" ht="53.25" customHeight="1">
      <c r="O3420" s="504"/>
    </row>
    <row r="3421" ht="53.25" customHeight="1">
      <c r="O3421" s="504"/>
    </row>
    <row r="3422" ht="53.25" customHeight="1">
      <c r="O3422" s="504"/>
    </row>
    <row r="3423" ht="53.25" customHeight="1">
      <c r="O3423" s="504"/>
    </row>
    <row r="3424" ht="53.25" customHeight="1">
      <c r="O3424" s="504"/>
    </row>
    <row r="3425" ht="53.25" customHeight="1">
      <c r="O3425" s="504"/>
    </row>
    <row r="3426" ht="53.25" customHeight="1">
      <c r="O3426" s="504"/>
    </row>
    <row r="3427" ht="53.25" customHeight="1">
      <c r="O3427" s="504"/>
    </row>
    <row r="3428" ht="53.25" customHeight="1">
      <c r="O3428" s="504"/>
    </row>
    <row r="3429" ht="53.25" customHeight="1">
      <c r="O3429" s="504"/>
    </row>
    <row r="3430" ht="53.25" customHeight="1">
      <c r="O3430" s="504"/>
    </row>
    <row r="3431" ht="53.25" customHeight="1">
      <c r="O3431" s="504"/>
    </row>
    <row r="3432" ht="53.25" customHeight="1">
      <c r="O3432" s="504"/>
    </row>
    <row r="3433" ht="53.25" customHeight="1">
      <c r="O3433" s="504"/>
    </row>
    <row r="3434" ht="53.25" customHeight="1">
      <c r="O3434" s="504"/>
    </row>
    <row r="3435" ht="53.25" customHeight="1">
      <c r="O3435" s="504"/>
    </row>
    <row r="3436" ht="53.25" customHeight="1">
      <c r="O3436" s="504"/>
    </row>
    <row r="3437" ht="53.25" customHeight="1">
      <c r="O3437" s="504"/>
    </row>
    <row r="3438" ht="53.25" customHeight="1">
      <c r="O3438" s="504"/>
    </row>
    <row r="3439" ht="53.25" customHeight="1">
      <c r="O3439" s="504"/>
    </row>
    <row r="3440" ht="53.25" customHeight="1">
      <c r="O3440" s="504"/>
    </row>
    <row r="3441" ht="53.25" customHeight="1">
      <c r="O3441" s="504"/>
    </row>
    <row r="3442" ht="53.25" customHeight="1">
      <c r="O3442" s="504"/>
    </row>
    <row r="3443" ht="53.25" customHeight="1">
      <c r="O3443" s="504"/>
    </row>
    <row r="3444" ht="53.25" customHeight="1">
      <c r="O3444" s="504"/>
    </row>
    <row r="3445" ht="53.25" customHeight="1">
      <c r="O3445" s="504"/>
    </row>
    <row r="3446" ht="53.25" customHeight="1">
      <c r="O3446" s="504"/>
    </row>
    <row r="3447" ht="53.25" customHeight="1">
      <c r="O3447" s="504"/>
    </row>
    <row r="3448" ht="53.25" customHeight="1">
      <c r="O3448" s="504"/>
    </row>
    <row r="3449" ht="53.25" customHeight="1">
      <c r="O3449" s="504"/>
    </row>
    <row r="3450" ht="53.25" customHeight="1">
      <c r="O3450" s="504"/>
    </row>
    <row r="3451" ht="53.25" customHeight="1">
      <c r="O3451" s="504"/>
    </row>
    <row r="3452" ht="53.25" customHeight="1">
      <c r="O3452" s="504"/>
    </row>
    <row r="3453" ht="53.25" customHeight="1">
      <c r="O3453" s="504"/>
    </row>
    <row r="3454" ht="53.25" customHeight="1">
      <c r="O3454" s="504"/>
    </row>
    <row r="3455" ht="53.25" customHeight="1">
      <c r="O3455" s="504"/>
    </row>
    <row r="3456" ht="53.25" customHeight="1">
      <c r="O3456" s="504"/>
    </row>
    <row r="3457" ht="53.25" customHeight="1">
      <c r="O3457" s="504"/>
    </row>
    <row r="3458" ht="53.25" customHeight="1">
      <c r="O3458" s="504"/>
    </row>
    <row r="3459" ht="53.25" customHeight="1">
      <c r="O3459" s="504"/>
    </row>
    <row r="3460" ht="53.25" customHeight="1">
      <c r="O3460" s="504"/>
    </row>
    <row r="3461" ht="53.25" customHeight="1">
      <c r="O3461" s="504"/>
    </row>
    <row r="3462" ht="53.25" customHeight="1">
      <c r="O3462" s="504"/>
    </row>
    <row r="3463" ht="53.25" customHeight="1">
      <c r="O3463" s="504"/>
    </row>
    <row r="3464" ht="53.25" customHeight="1">
      <c r="O3464" s="504"/>
    </row>
    <row r="3465" ht="53.25" customHeight="1">
      <c r="O3465" s="504"/>
    </row>
    <row r="3466" ht="53.25" customHeight="1">
      <c r="O3466" s="504"/>
    </row>
    <row r="3467" ht="53.25" customHeight="1">
      <c r="O3467" s="504"/>
    </row>
    <row r="3468" ht="53.25" customHeight="1">
      <c r="O3468" s="504"/>
    </row>
    <row r="3469" ht="53.25" customHeight="1">
      <c r="O3469" s="504"/>
    </row>
    <row r="3470" ht="53.25" customHeight="1">
      <c r="O3470" s="504"/>
    </row>
    <row r="3471" ht="53.25" customHeight="1">
      <c r="O3471" s="504"/>
    </row>
    <row r="3472" ht="53.25" customHeight="1">
      <c r="O3472" s="504"/>
    </row>
    <row r="3473" ht="53.25" customHeight="1">
      <c r="O3473" s="504"/>
    </row>
    <row r="3474" ht="53.25" customHeight="1">
      <c r="O3474" s="504"/>
    </row>
    <row r="3475" ht="53.25" customHeight="1">
      <c r="O3475" s="504"/>
    </row>
    <row r="3476" ht="53.25" customHeight="1">
      <c r="O3476" s="504"/>
    </row>
    <row r="3477" ht="53.25" customHeight="1">
      <c r="O3477" s="504"/>
    </row>
    <row r="3478" ht="53.25" customHeight="1">
      <c r="O3478" s="504"/>
    </row>
    <row r="3479" ht="53.25" customHeight="1">
      <c r="O3479" s="504"/>
    </row>
    <row r="3480" ht="53.25" customHeight="1">
      <c r="O3480" s="504"/>
    </row>
    <row r="3481" ht="53.25" customHeight="1">
      <c r="O3481" s="504"/>
    </row>
    <row r="3482" ht="53.25" customHeight="1">
      <c r="O3482" s="504"/>
    </row>
    <row r="3483" ht="53.25" customHeight="1">
      <c r="O3483" s="504"/>
    </row>
    <row r="3484" ht="53.25" customHeight="1">
      <c r="O3484" s="504"/>
    </row>
    <row r="3485" ht="53.25" customHeight="1">
      <c r="O3485" s="504"/>
    </row>
    <row r="3486" ht="53.25" customHeight="1">
      <c r="O3486" s="504"/>
    </row>
    <row r="3487" ht="53.25" customHeight="1">
      <c r="O3487" s="504"/>
    </row>
    <row r="3488" ht="53.25" customHeight="1">
      <c r="O3488" s="504"/>
    </row>
    <row r="3489" ht="53.25" customHeight="1">
      <c r="O3489" s="504"/>
    </row>
    <row r="3490" ht="53.25" customHeight="1">
      <c r="O3490" s="504"/>
    </row>
    <row r="3491" ht="53.25" customHeight="1">
      <c r="O3491" s="504"/>
    </row>
    <row r="3492" ht="53.25" customHeight="1">
      <c r="O3492" s="504"/>
    </row>
    <row r="3493" ht="53.25" customHeight="1">
      <c r="O3493" s="504"/>
    </row>
    <row r="3494" ht="53.25" customHeight="1">
      <c r="O3494" s="504"/>
    </row>
    <row r="3495" ht="53.25" customHeight="1">
      <c r="O3495" s="504"/>
    </row>
    <row r="3496" ht="53.25" customHeight="1">
      <c r="O3496" s="504"/>
    </row>
    <row r="3497" ht="53.25" customHeight="1">
      <c r="O3497" s="504"/>
    </row>
    <row r="3498" ht="53.25" customHeight="1">
      <c r="O3498" s="504"/>
    </row>
    <row r="3499" ht="53.25" customHeight="1">
      <c r="O3499" s="504"/>
    </row>
    <row r="3500" ht="53.25" customHeight="1">
      <c r="O3500" s="504"/>
    </row>
    <row r="3501" ht="53.25" customHeight="1">
      <c r="O3501" s="504"/>
    </row>
    <row r="3502" ht="53.25" customHeight="1">
      <c r="O3502" s="504"/>
    </row>
    <row r="3503" ht="53.25" customHeight="1">
      <c r="O3503" s="504"/>
    </row>
    <row r="3504" ht="53.25" customHeight="1">
      <c r="O3504" s="504"/>
    </row>
    <row r="3505" ht="53.25" customHeight="1">
      <c r="O3505" s="504"/>
    </row>
    <row r="3506" ht="53.25" customHeight="1">
      <c r="O3506" s="504"/>
    </row>
    <row r="3507" ht="53.25" customHeight="1">
      <c r="O3507" s="504"/>
    </row>
    <row r="3508" ht="53.25" customHeight="1">
      <c r="O3508" s="504"/>
    </row>
    <row r="3509" ht="53.25" customHeight="1">
      <c r="O3509" s="504"/>
    </row>
    <row r="3510" ht="53.25" customHeight="1">
      <c r="O3510" s="504"/>
    </row>
    <row r="3511" ht="53.25" customHeight="1">
      <c r="O3511" s="504"/>
    </row>
    <row r="3512" ht="53.25" customHeight="1">
      <c r="O3512" s="504"/>
    </row>
    <row r="3513" ht="53.25" customHeight="1">
      <c r="O3513" s="504"/>
    </row>
    <row r="3514" ht="53.25" customHeight="1">
      <c r="O3514" s="504"/>
    </row>
    <row r="3515" ht="53.25" customHeight="1">
      <c r="O3515" s="504"/>
    </row>
    <row r="3516" ht="53.25" customHeight="1">
      <c r="O3516" s="504"/>
    </row>
    <row r="3517" ht="53.25" customHeight="1">
      <c r="O3517" s="504"/>
    </row>
    <row r="3518" ht="53.25" customHeight="1">
      <c r="O3518" s="504"/>
    </row>
    <row r="3519" ht="53.25" customHeight="1">
      <c r="O3519" s="504"/>
    </row>
    <row r="3520" ht="53.25" customHeight="1">
      <c r="O3520" s="504"/>
    </row>
    <row r="3521" ht="53.25" customHeight="1">
      <c r="O3521" s="504"/>
    </row>
    <row r="3522" ht="53.25" customHeight="1">
      <c r="O3522" s="504"/>
    </row>
    <row r="3523" ht="53.25" customHeight="1">
      <c r="O3523" s="504"/>
    </row>
    <row r="3524" ht="53.25" customHeight="1">
      <c r="O3524" s="504"/>
    </row>
    <row r="3525" ht="53.25" customHeight="1">
      <c r="O3525" s="504"/>
    </row>
    <row r="3526" ht="53.25" customHeight="1">
      <c r="O3526" s="504"/>
    </row>
    <row r="3527" ht="53.25" customHeight="1">
      <c r="O3527" s="504"/>
    </row>
    <row r="3528" ht="53.25" customHeight="1">
      <c r="O3528" s="504"/>
    </row>
    <row r="3529" ht="53.25" customHeight="1">
      <c r="O3529" s="504"/>
    </row>
    <row r="3530" ht="53.25" customHeight="1">
      <c r="O3530" s="504"/>
    </row>
    <row r="3531" ht="53.25" customHeight="1">
      <c r="O3531" s="504"/>
    </row>
    <row r="3532" ht="53.25" customHeight="1">
      <c r="O3532" s="504"/>
    </row>
    <row r="3533" ht="53.25" customHeight="1">
      <c r="O3533" s="504"/>
    </row>
    <row r="3534" ht="53.25" customHeight="1">
      <c r="O3534" s="504"/>
    </row>
    <row r="3535" ht="53.25" customHeight="1">
      <c r="O3535" s="504"/>
    </row>
    <row r="3536" ht="53.25" customHeight="1">
      <c r="O3536" s="504"/>
    </row>
    <row r="3537" ht="53.25" customHeight="1">
      <c r="O3537" s="504"/>
    </row>
    <row r="3538" ht="53.25" customHeight="1">
      <c r="O3538" s="504"/>
    </row>
    <row r="3539" ht="53.25" customHeight="1">
      <c r="O3539" s="504"/>
    </row>
    <row r="3540" ht="53.25" customHeight="1">
      <c r="O3540" s="504"/>
    </row>
    <row r="3541" ht="53.25" customHeight="1">
      <c r="O3541" s="504"/>
    </row>
    <row r="3542" ht="53.25" customHeight="1">
      <c r="O3542" s="504"/>
    </row>
    <row r="3543" ht="53.25" customHeight="1">
      <c r="O3543" s="504"/>
    </row>
    <row r="3544" ht="53.25" customHeight="1">
      <c r="O3544" s="504"/>
    </row>
    <row r="3545" ht="53.25" customHeight="1">
      <c r="O3545" s="504"/>
    </row>
    <row r="3546" ht="53.25" customHeight="1">
      <c r="O3546" s="504"/>
    </row>
    <row r="3547" ht="53.25" customHeight="1">
      <c r="O3547" s="504"/>
    </row>
    <row r="3548" ht="53.25" customHeight="1">
      <c r="O3548" s="504"/>
    </row>
    <row r="3549" ht="53.25" customHeight="1">
      <c r="O3549" s="504"/>
    </row>
    <row r="3550" ht="53.25" customHeight="1">
      <c r="O3550" s="504"/>
    </row>
    <row r="3551" ht="53.25" customHeight="1">
      <c r="O3551" s="504"/>
    </row>
    <row r="3552" ht="53.25" customHeight="1">
      <c r="O3552" s="504"/>
    </row>
    <row r="3553" ht="53.25" customHeight="1">
      <c r="O3553" s="504"/>
    </row>
    <row r="3554" ht="53.25" customHeight="1">
      <c r="O3554" s="504"/>
    </row>
    <row r="3555" ht="53.25" customHeight="1">
      <c r="O3555" s="504"/>
    </row>
    <row r="3556" ht="53.25" customHeight="1">
      <c r="O3556" s="504"/>
    </row>
    <row r="3557" ht="53.25" customHeight="1">
      <c r="O3557" s="504"/>
    </row>
    <row r="3558" ht="53.25" customHeight="1">
      <c r="O3558" s="504"/>
    </row>
    <row r="3559" ht="53.25" customHeight="1">
      <c r="O3559" s="504"/>
    </row>
    <row r="3560" ht="53.25" customHeight="1">
      <c r="O3560" s="504"/>
    </row>
    <row r="3561" ht="53.25" customHeight="1">
      <c r="O3561" s="504"/>
    </row>
    <row r="3562" ht="53.25" customHeight="1">
      <c r="O3562" s="504"/>
    </row>
    <row r="3563" ht="53.25" customHeight="1">
      <c r="O3563" s="504"/>
    </row>
    <row r="3564" ht="53.25" customHeight="1">
      <c r="O3564" s="504"/>
    </row>
    <row r="3565" ht="53.25" customHeight="1">
      <c r="O3565" s="504"/>
    </row>
    <row r="3566" ht="53.25" customHeight="1">
      <c r="O3566" s="504"/>
    </row>
    <row r="3567" ht="53.25" customHeight="1">
      <c r="O3567" s="504"/>
    </row>
    <row r="3568" ht="53.25" customHeight="1">
      <c r="O3568" s="504"/>
    </row>
    <row r="3569" ht="53.25" customHeight="1">
      <c r="O3569" s="504"/>
    </row>
    <row r="3570" ht="53.25" customHeight="1">
      <c r="O3570" s="504"/>
    </row>
    <row r="3571" ht="53.25" customHeight="1">
      <c r="O3571" s="504"/>
    </row>
    <row r="3572" ht="53.25" customHeight="1">
      <c r="O3572" s="504"/>
    </row>
    <row r="3573" ht="53.25" customHeight="1">
      <c r="O3573" s="504"/>
    </row>
    <row r="3574" ht="53.25" customHeight="1">
      <c r="O3574" s="504"/>
    </row>
    <row r="3575" ht="53.25" customHeight="1">
      <c r="O3575" s="504"/>
    </row>
    <row r="3576" ht="53.25" customHeight="1">
      <c r="O3576" s="504"/>
    </row>
    <row r="3577" ht="53.25" customHeight="1">
      <c r="O3577" s="504"/>
    </row>
    <row r="3578" ht="53.25" customHeight="1">
      <c r="O3578" s="504"/>
    </row>
    <row r="3579" ht="53.25" customHeight="1">
      <c r="O3579" s="504"/>
    </row>
    <row r="3580" ht="53.25" customHeight="1">
      <c r="O3580" s="504"/>
    </row>
    <row r="3581" ht="53.25" customHeight="1">
      <c r="O3581" s="504"/>
    </row>
    <row r="3582" ht="53.25" customHeight="1">
      <c r="O3582" s="504"/>
    </row>
    <row r="3583" ht="53.25" customHeight="1">
      <c r="O3583" s="504"/>
    </row>
    <row r="3584" ht="53.25" customHeight="1">
      <c r="O3584" s="504"/>
    </row>
    <row r="3585" ht="53.25" customHeight="1">
      <c r="O3585" s="504"/>
    </row>
    <row r="3586" ht="53.25" customHeight="1">
      <c r="O3586" s="504"/>
    </row>
    <row r="3587" ht="53.25" customHeight="1">
      <c r="O3587" s="504"/>
    </row>
    <row r="3588" ht="53.25" customHeight="1">
      <c r="O3588" s="504"/>
    </row>
    <row r="3589" ht="53.25" customHeight="1">
      <c r="O3589" s="504"/>
    </row>
    <row r="3590" ht="53.25" customHeight="1">
      <c r="O3590" s="504"/>
    </row>
    <row r="3591" ht="53.25" customHeight="1">
      <c r="O3591" s="504"/>
    </row>
    <row r="3592" ht="53.25" customHeight="1">
      <c r="O3592" s="504"/>
    </row>
    <row r="3593" ht="53.25" customHeight="1">
      <c r="O3593" s="504"/>
    </row>
    <row r="3594" ht="53.25" customHeight="1">
      <c r="O3594" s="504"/>
    </row>
    <row r="3595" ht="53.25" customHeight="1">
      <c r="O3595" s="504"/>
    </row>
    <row r="3596" ht="53.25" customHeight="1">
      <c r="O3596" s="504"/>
    </row>
    <row r="3597" ht="53.25" customHeight="1">
      <c r="O3597" s="504"/>
    </row>
    <row r="3598" ht="53.25" customHeight="1">
      <c r="O3598" s="504"/>
    </row>
    <row r="3599" ht="53.25" customHeight="1">
      <c r="O3599" s="504"/>
    </row>
    <row r="3600" ht="53.25" customHeight="1">
      <c r="O3600" s="504"/>
    </row>
    <row r="3601" ht="53.25" customHeight="1">
      <c r="O3601" s="504"/>
    </row>
    <row r="3602" ht="53.25" customHeight="1">
      <c r="O3602" s="504"/>
    </row>
    <row r="3603" ht="53.25" customHeight="1">
      <c r="O3603" s="504"/>
    </row>
    <row r="3604" ht="53.25" customHeight="1">
      <c r="O3604" s="504"/>
    </row>
    <row r="3605" ht="53.25" customHeight="1">
      <c r="O3605" s="504"/>
    </row>
    <row r="3606" ht="53.25" customHeight="1">
      <c r="O3606" s="504"/>
    </row>
    <row r="3607" ht="53.25" customHeight="1">
      <c r="O3607" s="504"/>
    </row>
    <row r="3608" ht="53.25" customHeight="1">
      <c r="O3608" s="504"/>
    </row>
    <row r="3609" ht="53.25" customHeight="1">
      <c r="O3609" s="504"/>
    </row>
    <row r="3610" ht="53.25" customHeight="1">
      <c r="O3610" s="504"/>
    </row>
    <row r="3611" ht="53.25" customHeight="1">
      <c r="O3611" s="504"/>
    </row>
    <row r="3612" ht="53.25" customHeight="1">
      <c r="O3612" s="504"/>
    </row>
    <row r="3613" ht="53.25" customHeight="1">
      <c r="O3613" s="504"/>
    </row>
    <row r="3614" ht="53.25" customHeight="1">
      <c r="O3614" s="504"/>
    </row>
    <row r="3615" ht="53.25" customHeight="1">
      <c r="O3615" s="504"/>
    </row>
    <row r="3616" ht="53.25" customHeight="1">
      <c r="O3616" s="504"/>
    </row>
    <row r="3617" ht="53.25" customHeight="1">
      <c r="O3617" s="504"/>
    </row>
    <row r="3618" ht="53.25" customHeight="1">
      <c r="O3618" s="504"/>
    </row>
    <row r="3619" ht="53.25" customHeight="1">
      <c r="O3619" s="504"/>
    </row>
    <row r="3620" ht="53.25" customHeight="1">
      <c r="O3620" s="504"/>
    </row>
    <row r="3621" ht="53.25" customHeight="1">
      <c r="O3621" s="504"/>
    </row>
    <row r="3622" ht="53.25" customHeight="1">
      <c r="O3622" s="504"/>
    </row>
    <row r="3623" ht="53.25" customHeight="1">
      <c r="O3623" s="504"/>
    </row>
    <row r="3624" ht="53.25" customHeight="1">
      <c r="O3624" s="504"/>
    </row>
    <row r="3625" ht="53.25" customHeight="1">
      <c r="O3625" s="504"/>
    </row>
    <row r="3626" ht="53.25" customHeight="1">
      <c r="O3626" s="504"/>
    </row>
    <row r="3627" ht="53.25" customHeight="1">
      <c r="O3627" s="504"/>
    </row>
    <row r="3628" ht="53.25" customHeight="1">
      <c r="O3628" s="504"/>
    </row>
    <row r="3629" ht="53.25" customHeight="1">
      <c r="O3629" s="504"/>
    </row>
    <row r="3630" ht="53.25" customHeight="1">
      <c r="O3630" s="504"/>
    </row>
    <row r="3631" ht="53.25" customHeight="1">
      <c r="O3631" s="504"/>
    </row>
    <row r="3632" ht="53.25" customHeight="1">
      <c r="O3632" s="504"/>
    </row>
    <row r="3633" ht="53.25" customHeight="1">
      <c r="O3633" s="504"/>
    </row>
    <row r="3634" ht="53.25" customHeight="1">
      <c r="O3634" s="504"/>
    </row>
    <row r="3635" ht="53.25" customHeight="1">
      <c r="O3635" s="504"/>
    </row>
    <row r="3636" ht="53.25" customHeight="1">
      <c r="O3636" s="504"/>
    </row>
    <row r="3637" ht="53.25" customHeight="1">
      <c r="O3637" s="504"/>
    </row>
    <row r="3638" ht="53.25" customHeight="1">
      <c r="O3638" s="504"/>
    </row>
    <row r="3639" ht="53.25" customHeight="1">
      <c r="O3639" s="504"/>
    </row>
    <row r="3640" ht="53.25" customHeight="1">
      <c r="O3640" s="504"/>
    </row>
    <row r="3641" ht="53.25" customHeight="1">
      <c r="O3641" s="504"/>
    </row>
    <row r="3642" ht="53.25" customHeight="1">
      <c r="O3642" s="504"/>
    </row>
    <row r="3643" ht="53.25" customHeight="1">
      <c r="O3643" s="504"/>
    </row>
    <row r="3644" ht="53.25" customHeight="1">
      <c r="O3644" s="504"/>
    </row>
    <row r="3645" ht="53.25" customHeight="1">
      <c r="O3645" s="504"/>
    </row>
    <row r="3646" ht="53.25" customHeight="1">
      <c r="O3646" s="504"/>
    </row>
    <row r="3647" ht="53.25" customHeight="1">
      <c r="O3647" s="504"/>
    </row>
    <row r="3648" ht="53.25" customHeight="1">
      <c r="O3648" s="504"/>
    </row>
    <row r="3649" ht="53.25" customHeight="1">
      <c r="O3649" s="504"/>
    </row>
    <row r="3650" ht="53.25" customHeight="1">
      <c r="O3650" s="504"/>
    </row>
    <row r="3651" ht="53.25" customHeight="1">
      <c r="O3651" s="504"/>
    </row>
    <row r="3652" ht="53.25" customHeight="1">
      <c r="O3652" s="504"/>
    </row>
    <row r="3653" ht="53.25" customHeight="1">
      <c r="O3653" s="504"/>
    </row>
    <row r="3654" ht="53.25" customHeight="1">
      <c r="O3654" s="504"/>
    </row>
    <row r="3655" ht="53.25" customHeight="1">
      <c r="O3655" s="504"/>
    </row>
    <row r="3656" ht="53.25" customHeight="1">
      <c r="O3656" s="504"/>
    </row>
    <row r="3657" ht="53.25" customHeight="1">
      <c r="O3657" s="504"/>
    </row>
    <row r="3658" ht="53.25" customHeight="1">
      <c r="O3658" s="504"/>
    </row>
    <row r="3659" ht="53.25" customHeight="1">
      <c r="O3659" s="504"/>
    </row>
    <row r="3660" ht="53.25" customHeight="1">
      <c r="O3660" s="504"/>
    </row>
    <row r="3661" ht="53.25" customHeight="1">
      <c r="O3661" s="504"/>
    </row>
    <row r="3662" ht="53.25" customHeight="1">
      <c r="O3662" s="504"/>
    </row>
    <row r="3663" ht="53.25" customHeight="1">
      <c r="O3663" s="504"/>
    </row>
    <row r="3664" ht="53.25" customHeight="1">
      <c r="O3664" s="504"/>
    </row>
    <row r="3665" ht="53.25" customHeight="1">
      <c r="O3665" s="504"/>
    </row>
    <row r="3666" ht="53.25" customHeight="1">
      <c r="O3666" s="504"/>
    </row>
    <row r="3667" ht="53.25" customHeight="1">
      <c r="O3667" s="504"/>
    </row>
    <row r="3668" ht="53.25" customHeight="1">
      <c r="O3668" s="504"/>
    </row>
    <row r="3669" ht="53.25" customHeight="1">
      <c r="O3669" s="504"/>
    </row>
    <row r="3670" ht="53.25" customHeight="1">
      <c r="O3670" s="504"/>
    </row>
    <row r="3671" ht="53.25" customHeight="1">
      <c r="O3671" s="504"/>
    </row>
    <row r="3672" ht="53.25" customHeight="1">
      <c r="O3672" s="504"/>
    </row>
    <row r="3673" ht="53.25" customHeight="1">
      <c r="O3673" s="504"/>
    </row>
    <row r="3674" ht="53.25" customHeight="1">
      <c r="O3674" s="504"/>
    </row>
    <row r="3675" ht="53.25" customHeight="1">
      <c r="O3675" s="504"/>
    </row>
    <row r="3676" ht="53.25" customHeight="1">
      <c r="O3676" s="504"/>
    </row>
    <row r="3677" ht="53.25" customHeight="1">
      <c r="O3677" s="504"/>
    </row>
    <row r="3678" ht="53.25" customHeight="1">
      <c r="O3678" s="504"/>
    </row>
    <row r="3679" ht="53.25" customHeight="1">
      <c r="O3679" s="504"/>
    </row>
    <row r="3680" ht="53.25" customHeight="1">
      <c r="O3680" s="504"/>
    </row>
    <row r="3681" ht="53.25" customHeight="1">
      <c r="O3681" s="504"/>
    </row>
    <row r="3682" ht="53.25" customHeight="1">
      <c r="O3682" s="504"/>
    </row>
    <row r="3683" ht="53.25" customHeight="1">
      <c r="O3683" s="504"/>
    </row>
    <row r="3684" ht="53.25" customHeight="1">
      <c r="O3684" s="504"/>
    </row>
    <row r="3685" ht="53.25" customHeight="1">
      <c r="O3685" s="504"/>
    </row>
    <row r="3686" ht="53.25" customHeight="1">
      <c r="O3686" s="504"/>
    </row>
    <row r="3687" ht="53.25" customHeight="1">
      <c r="O3687" s="504"/>
    </row>
    <row r="3688" ht="53.25" customHeight="1">
      <c r="O3688" s="504"/>
    </row>
    <row r="3689" ht="53.25" customHeight="1">
      <c r="O3689" s="504"/>
    </row>
    <row r="3690" ht="53.25" customHeight="1">
      <c r="O3690" s="504"/>
    </row>
    <row r="3691" ht="53.25" customHeight="1">
      <c r="O3691" s="504"/>
    </row>
    <row r="3692" ht="53.25" customHeight="1">
      <c r="O3692" s="504"/>
    </row>
    <row r="3693" ht="53.25" customHeight="1">
      <c r="O3693" s="504"/>
    </row>
    <row r="3694" ht="53.25" customHeight="1">
      <c r="O3694" s="504"/>
    </row>
    <row r="3695" ht="53.25" customHeight="1">
      <c r="O3695" s="504"/>
    </row>
    <row r="3696" ht="53.25" customHeight="1">
      <c r="O3696" s="504"/>
    </row>
    <row r="3697" ht="53.25" customHeight="1">
      <c r="O3697" s="504"/>
    </row>
    <row r="3698" ht="53.25" customHeight="1">
      <c r="O3698" s="504"/>
    </row>
    <row r="3699" ht="53.25" customHeight="1">
      <c r="O3699" s="504"/>
    </row>
    <row r="3700" ht="53.25" customHeight="1">
      <c r="O3700" s="504"/>
    </row>
    <row r="3701" ht="53.25" customHeight="1">
      <c r="O3701" s="504"/>
    </row>
    <row r="3702" ht="53.25" customHeight="1">
      <c r="O3702" s="504"/>
    </row>
    <row r="3703" ht="53.25" customHeight="1">
      <c r="O3703" s="504"/>
    </row>
    <row r="3704" ht="53.25" customHeight="1">
      <c r="O3704" s="504"/>
    </row>
    <row r="3705" ht="53.25" customHeight="1">
      <c r="O3705" s="504"/>
    </row>
    <row r="3706" ht="53.25" customHeight="1">
      <c r="O3706" s="504"/>
    </row>
    <row r="3707" ht="53.25" customHeight="1">
      <c r="O3707" s="504"/>
    </row>
    <row r="3708" ht="53.25" customHeight="1">
      <c r="O3708" s="504"/>
    </row>
    <row r="3709" ht="53.25" customHeight="1">
      <c r="O3709" s="504"/>
    </row>
    <row r="3710" ht="53.25" customHeight="1">
      <c r="O3710" s="504"/>
    </row>
    <row r="3711" ht="53.25" customHeight="1">
      <c r="O3711" s="504"/>
    </row>
    <row r="3712" ht="53.25" customHeight="1">
      <c r="O3712" s="504"/>
    </row>
    <row r="3713" ht="53.25" customHeight="1">
      <c r="O3713" s="504"/>
    </row>
    <row r="3714" ht="53.25" customHeight="1">
      <c r="O3714" s="504"/>
    </row>
    <row r="3715" ht="53.25" customHeight="1">
      <c r="O3715" s="504"/>
    </row>
    <row r="3716" ht="53.25" customHeight="1">
      <c r="O3716" s="504"/>
    </row>
    <row r="3717" ht="53.25" customHeight="1">
      <c r="O3717" s="504"/>
    </row>
    <row r="3718" ht="53.25" customHeight="1">
      <c r="O3718" s="504"/>
    </row>
    <row r="3719" ht="53.25" customHeight="1">
      <c r="O3719" s="504"/>
    </row>
    <row r="3720" ht="53.25" customHeight="1">
      <c r="O3720" s="504"/>
    </row>
    <row r="3721" ht="53.25" customHeight="1">
      <c r="O3721" s="504"/>
    </row>
    <row r="3722" ht="53.25" customHeight="1">
      <c r="O3722" s="504"/>
    </row>
    <row r="3723" ht="53.25" customHeight="1">
      <c r="O3723" s="504"/>
    </row>
    <row r="3724" ht="53.25" customHeight="1">
      <c r="O3724" s="504"/>
    </row>
    <row r="3725" ht="53.25" customHeight="1">
      <c r="O3725" s="504"/>
    </row>
    <row r="3726" ht="53.25" customHeight="1">
      <c r="O3726" s="504"/>
    </row>
    <row r="3727" ht="53.25" customHeight="1">
      <c r="O3727" s="504"/>
    </row>
    <row r="3728" ht="53.25" customHeight="1">
      <c r="O3728" s="504"/>
    </row>
    <row r="3729" ht="53.25" customHeight="1">
      <c r="O3729" s="504"/>
    </row>
    <row r="3730" ht="53.25" customHeight="1">
      <c r="O3730" s="504"/>
    </row>
    <row r="3731" ht="53.25" customHeight="1">
      <c r="O3731" s="504"/>
    </row>
    <row r="3732" ht="53.25" customHeight="1">
      <c r="O3732" s="504"/>
    </row>
    <row r="3733" ht="53.25" customHeight="1">
      <c r="O3733" s="504"/>
    </row>
    <row r="3734" ht="53.25" customHeight="1">
      <c r="O3734" s="504"/>
    </row>
    <row r="3735" ht="53.25" customHeight="1">
      <c r="O3735" s="504"/>
    </row>
    <row r="3736" ht="53.25" customHeight="1">
      <c r="O3736" s="504"/>
    </row>
    <row r="3737" ht="53.25" customHeight="1">
      <c r="O3737" s="504"/>
    </row>
    <row r="3738" ht="53.25" customHeight="1">
      <c r="O3738" s="504"/>
    </row>
    <row r="3739" ht="53.25" customHeight="1">
      <c r="O3739" s="504"/>
    </row>
    <row r="3740" ht="53.25" customHeight="1">
      <c r="O3740" s="504"/>
    </row>
    <row r="3741" ht="53.25" customHeight="1">
      <c r="O3741" s="504"/>
    </row>
    <row r="3742" ht="53.25" customHeight="1">
      <c r="O3742" s="504"/>
    </row>
    <row r="3743" ht="53.25" customHeight="1">
      <c r="O3743" s="504"/>
    </row>
    <row r="3744" ht="53.25" customHeight="1">
      <c r="O3744" s="504"/>
    </row>
    <row r="3745" ht="53.25" customHeight="1">
      <c r="O3745" s="504"/>
    </row>
    <row r="3746" ht="53.25" customHeight="1">
      <c r="O3746" s="504"/>
    </row>
    <row r="3747" ht="53.25" customHeight="1">
      <c r="O3747" s="504"/>
    </row>
    <row r="3748" ht="53.25" customHeight="1">
      <c r="O3748" s="504"/>
    </row>
    <row r="3749" ht="53.25" customHeight="1">
      <c r="O3749" s="504"/>
    </row>
    <row r="3750" ht="53.25" customHeight="1">
      <c r="O3750" s="504"/>
    </row>
    <row r="3751" ht="53.25" customHeight="1">
      <c r="O3751" s="504"/>
    </row>
    <row r="3752" ht="53.25" customHeight="1">
      <c r="O3752" s="504"/>
    </row>
    <row r="3753" ht="53.25" customHeight="1">
      <c r="O3753" s="504"/>
    </row>
    <row r="3754" ht="53.25" customHeight="1">
      <c r="O3754" s="504"/>
    </row>
    <row r="3755" ht="53.25" customHeight="1">
      <c r="O3755" s="504"/>
    </row>
    <row r="3756" ht="53.25" customHeight="1">
      <c r="O3756" s="504"/>
    </row>
    <row r="3757" ht="53.25" customHeight="1">
      <c r="O3757" s="504"/>
    </row>
    <row r="3758" ht="53.25" customHeight="1">
      <c r="O3758" s="504"/>
    </row>
    <row r="3759" ht="53.25" customHeight="1">
      <c r="O3759" s="504"/>
    </row>
    <row r="3760" ht="53.25" customHeight="1">
      <c r="O3760" s="504"/>
    </row>
    <row r="3761" ht="53.25" customHeight="1">
      <c r="O3761" s="504"/>
    </row>
    <row r="3762" ht="53.25" customHeight="1">
      <c r="O3762" s="504"/>
    </row>
    <row r="3763" ht="53.25" customHeight="1">
      <c r="O3763" s="504"/>
    </row>
    <row r="3764" ht="53.25" customHeight="1">
      <c r="O3764" s="504"/>
    </row>
    <row r="3765" ht="53.25" customHeight="1">
      <c r="O3765" s="504"/>
    </row>
    <row r="3766" ht="53.25" customHeight="1">
      <c r="O3766" s="504"/>
    </row>
    <row r="3767" ht="53.25" customHeight="1">
      <c r="O3767" s="504"/>
    </row>
    <row r="3768" ht="53.25" customHeight="1">
      <c r="O3768" s="504"/>
    </row>
    <row r="3769" ht="53.25" customHeight="1">
      <c r="O3769" s="504"/>
    </row>
    <row r="3770" ht="53.25" customHeight="1">
      <c r="O3770" s="504"/>
    </row>
    <row r="3771" ht="53.25" customHeight="1">
      <c r="O3771" s="504"/>
    </row>
    <row r="3772" ht="53.25" customHeight="1">
      <c r="O3772" s="504"/>
    </row>
    <row r="3773" ht="53.25" customHeight="1">
      <c r="O3773" s="504"/>
    </row>
    <row r="3774" ht="53.25" customHeight="1">
      <c r="O3774" s="504"/>
    </row>
    <row r="3775" ht="53.25" customHeight="1">
      <c r="O3775" s="504"/>
    </row>
    <row r="3776" ht="53.25" customHeight="1">
      <c r="O3776" s="504"/>
    </row>
    <row r="3777" ht="53.25" customHeight="1">
      <c r="O3777" s="504"/>
    </row>
    <row r="3778" ht="53.25" customHeight="1">
      <c r="O3778" s="504"/>
    </row>
    <row r="3779" ht="53.25" customHeight="1">
      <c r="O3779" s="504"/>
    </row>
    <row r="3780" ht="53.25" customHeight="1">
      <c r="O3780" s="504"/>
    </row>
    <row r="3781" ht="53.25" customHeight="1">
      <c r="O3781" s="504"/>
    </row>
    <row r="3782" ht="53.25" customHeight="1">
      <c r="O3782" s="504"/>
    </row>
    <row r="3783" ht="53.25" customHeight="1">
      <c r="O3783" s="504"/>
    </row>
    <row r="3784" ht="53.25" customHeight="1">
      <c r="O3784" s="504"/>
    </row>
    <row r="3785" ht="53.25" customHeight="1">
      <c r="O3785" s="504"/>
    </row>
    <row r="3786" ht="53.25" customHeight="1">
      <c r="O3786" s="504"/>
    </row>
    <row r="3787" ht="53.25" customHeight="1">
      <c r="O3787" s="504"/>
    </row>
    <row r="3788" ht="53.25" customHeight="1">
      <c r="O3788" s="504"/>
    </row>
    <row r="3789" ht="53.25" customHeight="1">
      <c r="O3789" s="504"/>
    </row>
    <row r="3790" ht="53.25" customHeight="1">
      <c r="O3790" s="504"/>
    </row>
    <row r="3791" ht="53.25" customHeight="1">
      <c r="O3791" s="504"/>
    </row>
    <row r="3792" ht="53.25" customHeight="1">
      <c r="O3792" s="504"/>
    </row>
    <row r="3793" ht="53.25" customHeight="1">
      <c r="O3793" s="504"/>
    </row>
    <row r="3794" ht="53.25" customHeight="1">
      <c r="O3794" s="504"/>
    </row>
    <row r="3795" ht="53.25" customHeight="1">
      <c r="O3795" s="504"/>
    </row>
    <row r="3796" ht="53.25" customHeight="1">
      <c r="O3796" s="504"/>
    </row>
    <row r="3797" ht="53.25" customHeight="1">
      <c r="O3797" s="504"/>
    </row>
    <row r="3798" ht="53.25" customHeight="1">
      <c r="O3798" s="504"/>
    </row>
    <row r="3799" ht="53.25" customHeight="1">
      <c r="O3799" s="504"/>
    </row>
    <row r="3800" ht="53.25" customHeight="1">
      <c r="O3800" s="504"/>
    </row>
    <row r="3801" ht="53.25" customHeight="1">
      <c r="O3801" s="504"/>
    </row>
    <row r="3802" ht="53.25" customHeight="1">
      <c r="O3802" s="504"/>
    </row>
    <row r="3803" ht="53.25" customHeight="1">
      <c r="O3803" s="504"/>
    </row>
    <row r="3804" ht="53.25" customHeight="1">
      <c r="O3804" s="504"/>
    </row>
    <row r="3805" ht="53.25" customHeight="1">
      <c r="O3805" s="504"/>
    </row>
    <row r="3806" ht="53.25" customHeight="1">
      <c r="O3806" s="504"/>
    </row>
    <row r="3807" ht="53.25" customHeight="1">
      <c r="O3807" s="504"/>
    </row>
    <row r="3808" ht="53.25" customHeight="1">
      <c r="O3808" s="504"/>
    </row>
    <row r="3809" ht="53.25" customHeight="1">
      <c r="O3809" s="504"/>
    </row>
    <row r="3810" ht="53.25" customHeight="1">
      <c r="O3810" s="504"/>
    </row>
    <row r="3811" ht="53.25" customHeight="1">
      <c r="O3811" s="504"/>
    </row>
    <row r="3812" ht="53.25" customHeight="1">
      <c r="O3812" s="504"/>
    </row>
    <row r="3813" ht="53.25" customHeight="1">
      <c r="O3813" s="504"/>
    </row>
    <row r="3814" ht="53.25" customHeight="1">
      <c r="O3814" s="504"/>
    </row>
    <row r="3815" ht="53.25" customHeight="1">
      <c r="O3815" s="504"/>
    </row>
    <row r="3816" ht="53.25" customHeight="1">
      <c r="O3816" s="504"/>
    </row>
    <row r="3817" ht="53.25" customHeight="1">
      <c r="O3817" s="504"/>
    </row>
    <row r="3818" ht="53.25" customHeight="1">
      <c r="O3818" s="504"/>
    </row>
    <row r="3819" ht="53.25" customHeight="1">
      <c r="O3819" s="504"/>
    </row>
    <row r="3820" ht="53.25" customHeight="1">
      <c r="O3820" s="504"/>
    </row>
    <row r="3821" ht="53.25" customHeight="1">
      <c r="O3821" s="504"/>
    </row>
    <row r="3822" ht="53.25" customHeight="1">
      <c r="O3822" s="504"/>
    </row>
    <row r="3823" ht="53.25" customHeight="1">
      <c r="O3823" s="504"/>
    </row>
    <row r="3824" ht="53.25" customHeight="1">
      <c r="O3824" s="504"/>
    </row>
    <row r="3825" ht="53.25" customHeight="1">
      <c r="O3825" s="504"/>
    </row>
    <row r="3826" ht="53.25" customHeight="1">
      <c r="O3826" s="504"/>
    </row>
    <row r="3827" ht="53.25" customHeight="1">
      <c r="O3827" s="504"/>
    </row>
    <row r="3828" ht="53.25" customHeight="1">
      <c r="O3828" s="504"/>
    </row>
    <row r="3829" ht="53.25" customHeight="1">
      <c r="O3829" s="504"/>
    </row>
    <row r="3830" ht="53.25" customHeight="1">
      <c r="O3830" s="504"/>
    </row>
    <row r="3831" ht="53.25" customHeight="1">
      <c r="O3831" s="504"/>
    </row>
    <row r="3832" ht="53.25" customHeight="1">
      <c r="O3832" s="504"/>
    </row>
    <row r="3833" ht="53.25" customHeight="1">
      <c r="O3833" s="504"/>
    </row>
    <row r="3834" ht="53.25" customHeight="1">
      <c r="O3834" s="504"/>
    </row>
    <row r="3835" ht="53.25" customHeight="1">
      <c r="O3835" s="504"/>
    </row>
    <row r="3836" ht="53.25" customHeight="1">
      <c r="O3836" s="504"/>
    </row>
    <row r="3837" ht="53.25" customHeight="1">
      <c r="O3837" s="504"/>
    </row>
    <row r="3838" ht="53.25" customHeight="1">
      <c r="O3838" s="504"/>
    </row>
    <row r="3839" ht="53.25" customHeight="1">
      <c r="O3839" s="504"/>
    </row>
    <row r="3840" ht="53.25" customHeight="1">
      <c r="O3840" s="504"/>
    </row>
    <row r="3841" ht="53.25" customHeight="1">
      <c r="O3841" s="504"/>
    </row>
    <row r="3842" ht="53.25" customHeight="1">
      <c r="O3842" s="504"/>
    </row>
    <row r="3843" ht="53.25" customHeight="1">
      <c r="O3843" s="504"/>
    </row>
    <row r="3844" ht="53.25" customHeight="1">
      <c r="O3844" s="504"/>
    </row>
    <row r="3845" ht="53.25" customHeight="1">
      <c r="O3845" s="504"/>
    </row>
    <row r="3846" ht="53.25" customHeight="1">
      <c r="O3846" s="504"/>
    </row>
    <row r="3847" ht="53.25" customHeight="1">
      <c r="O3847" s="504"/>
    </row>
    <row r="3848" ht="53.25" customHeight="1">
      <c r="O3848" s="504"/>
    </row>
    <row r="3849" ht="53.25" customHeight="1">
      <c r="O3849" s="504"/>
    </row>
    <row r="3850" ht="53.25" customHeight="1">
      <c r="O3850" s="504"/>
    </row>
    <row r="3851" ht="53.25" customHeight="1">
      <c r="O3851" s="504"/>
    </row>
    <row r="3852" ht="53.25" customHeight="1">
      <c r="O3852" s="504"/>
    </row>
    <row r="3853" ht="53.25" customHeight="1">
      <c r="O3853" s="504"/>
    </row>
    <row r="3854" ht="53.25" customHeight="1">
      <c r="O3854" s="504"/>
    </row>
    <row r="3855" ht="53.25" customHeight="1">
      <c r="O3855" s="504"/>
    </row>
    <row r="3856" ht="53.25" customHeight="1">
      <c r="O3856" s="504"/>
    </row>
    <row r="3857" ht="53.25" customHeight="1">
      <c r="O3857" s="504"/>
    </row>
    <row r="3858" ht="53.25" customHeight="1">
      <c r="O3858" s="504"/>
    </row>
    <row r="3859" ht="53.25" customHeight="1">
      <c r="O3859" s="504"/>
    </row>
    <row r="3860" ht="53.25" customHeight="1">
      <c r="O3860" s="504"/>
    </row>
    <row r="3861" ht="53.25" customHeight="1">
      <c r="O3861" s="504"/>
    </row>
    <row r="3862" ht="53.25" customHeight="1">
      <c r="O3862" s="504"/>
    </row>
    <row r="3863" ht="53.25" customHeight="1">
      <c r="O3863" s="504"/>
    </row>
    <row r="3864" ht="53.25" customHeight="1">
      <c r="O3864" s="504"/>
    </row>
    <row r="3865" ht="53.25" customHeight="1">
      <c r="O3865" s="504"/>
    </row>
    <row r="3866" ht="53.25" customHeight="1">
      <c r="O3866" s="504"/>
    </row>
    <row r="3867" ht="53.25" customHeight="1">
      <c r="O3867" s="504"/>
    </row>
    <row r="3868" ht="53.25" customHeight="1">
      <c r="O3868" s="504"/>
    </row>
    <row r="3869" ht="53.25" customHeight="1">
      <c r="O3869" s="504"/>
    </row>
    <row r="3870" ht="53.25" customHeight="1">
      <c r="O3870" s="504"/>
    </row>
    <row r="3871" ht="53.25" customHeight="1">
      <c r="O3871" s="504"/>
    </row>
    <row r="3872" ht="53.25" customHeight="1">
      <c r="O3872" s="504"/>
    </row>
    <row r="3873" ht="53.25" customHeight="1">
      <c r="O3873" s="504"/>
    </row>
    <row r="3874" ht="53.25" customHeight="1">
      <c r="O3874" s="504"/>
    </row>
    <row r="3875" ht="53.25" customHeight="1">
      <c r="O3875" s="504"/>
    </row>
    <row r="3876" ht="53.25" customHeight="1">
      <c r="O3876" s="504"/>
    </row>
    <row r="3877" ht="53.25" customHeight="1">
      <c r="O3877" s="504"/>
    </row>
    <row r="3878" ht="53.25" customHeight="1">
      <c r="O3878" s="504"/>
    </row>
    <row r="3879" ht="53.25" customHeight="1">
      <c r="O3879" s="504"/>
    </row>
    <row r="3880" ht="53.25" customHeight="1">
      <c r="O3880" s="504"/>
    </row>
    <row r="3881" ht="53.25" customHeight="1">
      <c r="O3881" s="504"/>
    </row>
    <row r="3882" ht="53.25" customHeight="1">
      <c r="O3882" s="504"/>
    </row>
    <row r="3883" ht="53.25" customHeight="1">
      <c r="O3883" s="504"/>
    </row>
    <row r="3884" ht="53.25" customHeight="1">
      <c r="O3884" s="504"/>
    </row>
    <row r="3885" ht="53.25" customHeight="1">
      <c r="O3885" s="504"/>
    </row>
    <row r="3886" ht="53.25" customHeight="1">
      <c r="O3886" s="504"/>
    </row>
    <row r="3887" ht="53.25" customHeight="1">
      <c r="O3887" s="504"/>
    </row>
    <row r="3888" ht="53.25" customHeight="1">
      <c r="O3888" s="504"/>
    </row>
    <row r="3889" ht="53.25" customHeight="1">
      <c r="O3889" s="504"/>
    </row>
    <row r="3890" ht="53.25" customHeight="1">
      <c r="O3890" s="504"/>
    </row>
    <row r="3891" ht="53.25" customHeight="1">
      <c r="O3891" s="504"/>
    </row>
    <row r="3892" ht="53.25" customHeight="1">
      <c r="O3892" s="504"/>
    </row>
    <row r="3893" ht="53.25" customHeight="1">
      <c r="O3893" s="504"/>
    </row>
    <row r="3894" ht="53.25" customHeight="1">
      <c r="O3894" s="504"/>
    </row>
    <row r="3895" ht="53.25" customHeight="1">
      <c r="O3895" s="504"/>
    </row>
    <row r="3896" ht="53.25" customHeight="1">
      <c r="O3896" s="504"/>
    </row>
    <row r="3897" ht="53.25" customHeight="1">
      <c r="O3897" s="504"/>
    </row>
    <row r="3898" ht="53.25" customHeight="1">
      <c r="O3898" s="504"/>
    </row>
    <row r="3899" ht="53.25" customHeight="1">
      <c r="O3899" s="504"/>
    </row>
    <row r="3900" ht="53.25" customHeight="1">
      <c r="O3900" s="504"/>
    </row>
    <row r="3901" ht="53.25" customHeight="1">
      <c r="O3901" s="504"/>
    </row>
    <row r="3902" ht="53.25" customHeight="1">
      <c r="O3902" s="504"/>
    </row>
    <row r="3903" ht="53.25" customHeight="1">
      <c r="O3903" s="504"/>
    </row>
    <row r="3904" ht="53.25" customHeight="1">
      <c r="O3904" s="504"/>
    </row>
    <row r="3905" ht="53.25" customHeight="1">
      <c r="O3905" s="504"/>
    </row>
    <row r="3906" ht="53.25" customHeight="1">
      <c r="O3906" s="504"/>
    </row>
    <row r="3907" ht="53.25" customHeight="1">
      <c r="O3907" s="504"/>
    </row>
    <row r="3908" ht="53.25" customHeight="1">
      <c r="O3908" s="504"/>
    </row>
    <row r="3909" ht="53.25" customHeight="1">
      <c r="O3909" s="504"/>
    </row>
    <row r="3910" ht="53.25" customHeight="1">
      <c r="O3910" s="504"/>
    </row>
    <row r="3911" ht="53.25" customHeight="1">
      <c r="O3911" s="504"/>
    </row>
    <row r="3912" ht="53.25" customHeight="1">
      <c r="O3912" s="504"/>
    </row>
    <row r="3913" ht="53.25" customHeight="1">
      <c r="O3913" s="504"/>
    </row>
    <row r="3914" ht="53.25" customHeight="1">
      <c r="O3914" s="504"/>
    </row>
    <row r="3915" ht="53.25" customHeight="1">
      <c r="O3915" s="504"/>
    </row>
    <row r="3916" ht="53.25" customHeight="1">
      <c r="O3916" s="504"/>
    </row>
    <row r="3917" ht="53.25" customHeight="1">
      <c r="O3917" s="504"/>
    </row>
    <row r="3918" ht="53.25" customHeight="1">
      <c r="O3918" s="504"/>
    </row>
    <row r="3919" ht="53.25" customHeight="1">
      <c r="O3919" s="504"/>
    </row>
    <row r="3920" ht="53.25" customHeight="1">
      <c r="O3920" s="504"/>
    </row>
    <row r="3921" ht="53.25" customHeight="1">
      <c r="O3921" s="504"/>
    </row>
    <row r="3922" ht="53.25" customHeight="1">
      <c r="O3922" s="504"/>
    </row>
    <row r="3923" ht="53.25" customHeight="1">
      <c r="O3923" s="504"/>
    </row>
    <row r="3924" ht="53.25" customHeight="1">
      <c r="O3924" s="504"/>
    </row>
    <row r="3925" ht="53.25" customHeight="1">
      <c r="O3925" s="504"/>
    </row>
    <row r="3926" ht="53.25" customHeight="1">
      <c r="O3926" s="504"/>
    </row>
    <row r="3927" ht="53.25" customHeight="1">
      <c r="O3927" s="504"/>
    </row>
    <row r="3928" ht="53.25" customHeight="1">
      <c r="O3928" s="504"/>
    </row>
    <row r="3929" ht="53.25" customHeight="1">
      <c r="O3929" s="504"/>
    </row>
    <row r="3930" ht="53.25" customHeight="1">
      <c r="O3930" s="504"/>
    </row>
    <row r="3931" ht="53.25" customHeight="1">
      <c r="O3931" s="504"/>
    </row>
    <row r="3932" ht="53.25" customHeight="1">
      <c r="O3932" s="504"/>
    </row>
    <row r="3933" ht="53.25" customHeight="1">
      <c r="O3933" s="504"/>
    </row>
    <row r="3934" ht="53.25" customHeight="1">
      <c r="O3934" s="504"/>
    </row>
    <row r="3935" ht="53.25" customHeight="1">
      <c r="O3935" s="504"/>
    </row>
    <row r="3936" ht="53.25" customHeight="1">
      <c r="O3936" s="504"/>
    </row>
    <row r="3937" ht="53.25" customHeight="1">
      <c r="O3937" s="504"/>
    </row>
    <row r="3938" ht="53.25" customHeight="1">
      <c r="O3938" s="504"/>
    </row>
    <row r="3939" ht="53.25" customHeight="1">
      <c r="O3939" s="504"/>
    </row>
    <row r="3940" ht="53.25" customHeight="1">
      <c r="O3940" s="504"/>
    </row>
    <row r="3941" ht="53.25" customHeight="1">
      <c r="O3941" s="504"/>
    </row>
    <row r="3942" ht="53.25" customHeight="1">
      <c r="O3942" s="504"/>
    </row>
    <row r="3943" ht="53.25" customHeight="1">
      <c r="O3943" s="504"/>
    </row>
    <row r="3944" ht="53.25" customHeight="1">
      <c r="O3944" s="504"/>
    </row>
    <row r="3945" ht="53.25" customHeight="1">
      <c r="O3945" s="504"/>
    </row>
    <row r="3946" ht="53.25" customHeight="1">
      <c r="O3946" s="504"/>
    </row>
    <row r="3947" ht="53.25" customHeight="1">
      <c r="O3947" s="504"/>
    </row>
    <row r="3948" ht="53.25" customHeight="1">
      <c r="O3948" s="504"/>
    </row>
    <row r="3949" ht="53.25" customHeight="1">
      <c r="O3949" s="504"/>
    </row>
    <row r="3950" ht="53.25" customHeight="1">
      <c r="O3950" s="504"/>
    </row>
    <row r="3951" ht="53.25" customHeight="1">
      <c r="O3951" s="504"/>
    </row>
    <row r="3952" ht="53.25" customHeight="1">
      <c r="O3952" s="504"/>
    </row>
    <row r="3953" ht="53.25" customHeight="1">
      <c r="O3953" s="504"/>
    </row>
    <row r="3954" ht="53.25" customHeight="1">
      <c r="O3954" s="504"/>
    </row>
    <row r="3955" ht="53.25" customHeight="1">
      <c r="O3955" s="504"/>
    </row>
    <row r="3956" ht="53.25" customHeight="1">
      <c r="O3956" s="504"/>
    </row>
    <row r="3957" ht="53.25" customHeight="1">
      <c r="O3957" s="504"/>
    </row>
    <row r="3958" ht="53.25" customHeight="1">
      <c r="O3958" s="504"/>
    </row>
    <row r="3959" ht="53.25" customHeight="1">
      <c r="O3959" s="504"/>
    </row>
    <row r="3960" ht="53.25" customHeight="1">
      <c r="O3960" s="504"/>
    </row>
    <row r="3961" ht="53.25" customHeight="1">
      <c r="O3961" s="504"/>
    </row>
    <row r="3962" ht="53.25" customHeight="1">
      <c r="O3962" s="504"/>
    </row>
    <row r="3963" ht="53.25" customHeight="1">
      <c r="O3963" s="504"/>
    </row>
    <row r="3964" ht="53.25" customHeight="1">
      <c r="O3964" s="504"/>
    </row>
    <row r="3965" ht="53.25" customHeight="1">
      <c r="O3965" s="504"/>
    </row>
    <row r="3966" ht="53.25" customHeight="1">
      <c r="O3966" s="504"/>
    </row>
    <row r="3967" ht="53.25" customHeight="1">
      <c r="O3967" s="504"/>
    </row>
    <row r="3968" ht="53.25" customHeight="1">
      <c r="O3968" s="504"/>
    </row>
    <row r="3969" ht="53.25" customHeight="1">
      <c r="O3969" s="504"/>
    </row>
    <row r="3970" ht="53.25" customHeight="1">
      <c r="O3970" s="504"/>
    </row>
    <row r="3971" ht="53.25" customHeight="1">
      <c r="O3971" s="504"/>
    </row>
    <row r="3972" ht="53.25" customHeight="1">
      <c r="O3972" s="504"/>
    </row>
    <row r="3973" ht="53.25" customHeight="1">
      <c r="O3973" s="504"/>
    </row>
    <row r="3974" ht="53.25" customHeight="1">
      <c r="O3974" s="504"/>
    </row>
    <row r="3975" ht="53.25" customHeight="1">
      <c r="O3975" s="504"/>
    </row>
    <row r="3976" ht="53.25" customHeight="1">
      <c r="O3976" s="504"/>
    </row>
    <row r="3977" ht="53.25" customHeight="1">
      <c r="O3977" s="504"/>
    </row>
    <row r="3978" ht="53.25" customHeight="1">
      <c r="O3978" s="504"/>
    </row>
    <row r="3979" ht="53.25" customHeight="1">
      <c r="O3979" s="504"/>
    </row>
    <row r="3980" ht="53.25" customHeight="1">
      <c r="O3980" s="504"/>
    </row>
    <row r="3981" ht="53.25" customHeight="1">
      <c r="O3981" s="504"/>
    </row>
    <row r="3982" ht="53.25" customHeight="1">
      <c r="O3982" s="504"/>
    </row>
    <row r="3983" ht="53.25" customHeight="1">
      <c r="O3983" s="504"/>
    </row>
    <row r="3984" ht="53.25" customHeight="1">
      <c r="O3984" s="504"/>
    </row>
    <row r="3985" ht="53.25" customHeight="1">
      <c r="O3985" s="504"/>
    </row>
    <row r="3986" ht="53.25" customHeight="1">
      <c r="O3986" s="504"/>
    </row>
    <row r="3987" ht="53.25" customHeight="1">
      <c r="O3987" s="504"/>
    </row>
    <row r="3988" ht="53.25" customHeight="1">
      <c r="O3988" s="504"/>
    </row>
    <row r="3989" ht="53.25" customHeight="1">
      <c r="O3989" s="504"/>
    </row>
    <row r="3990" ht="53.25" customHeight="1">
      <c r="O3990" s="504"/>
    </row>
    <row r="3991" ht="53.25" customHeight="1">
      <c r="O3991" s="504"/>
    </row>
    <row r="3992" ht="53.25" customHeight="1">
      <c r="O3992" s="504"/>
    </row>
    <row r="3993" ht="53.25" customHeight="1">
      <c r="O3993" s="504"/>
    </row>
    <row r="3994" ht="53.25" customHeight="1">
      <c r="O3994" s="504"/>
    </row>
    <row r="3995" ht="53.25" customHeight="1">
      <c r="O3995" s="504"/>
    </row>
    <row r="3996" ht="53.25" customHeight="1">
      <c r="O3996" s="504"/>
    </row>
    <row r="3997" ht="53.25" customHeight="1">
      <c r="O3997" s="504"/>
    </row>
    <row r="3998" ht="53.25" customHeight="1">
      <c r="O3998" s="504"/>
    </row>
    <row r="3999" ht="53.25" customHeight="1">
      <c r="O3999" s="504"/>
    </row>
    <row r="4000" ht="53.25" customHeight="1">
      <c r="O4000" s="504"/>
    </row>
    <row r="4001" ht="53.25" customHeight="1">
      <c r="O4001" s="504"/>
    </row>
    <row r="4002" ht="53.25" customHeight="1">
      <c r="O4002" s="504"/>
    </row>
    <row r="4003" ht="53.25" customHeight="1">
      <c r="O4003" s="504"/>
    </row>
    <row r="4004" ht="53.25" customHeight="1">
      <c r="O4004" s="504"/>
    </row>
    <row r="4005" ht="53.25" customHeight="1">
      <c r="O4005" s="504"/>
    </row>
    <row r="4006" ht="53.25" customHeight="1">
      <c r="O4006" s="504"/>
    </row>
    <row r="4007" ht="53.25" customHeight="1">
      <c r="O4007" s="504"/>
    </row>
    <row r="4008" ht="53.25" customHeight="1">
      <c r="O4008" s="504"/>
    </row>
    <row r="4009" ht="53.25" customHeight="1">
      <c r="O4009" s="504"/>
    </row>
    <row r="4010" ht="53.25" customHeight="1">
      <c r="O4010" s="504"/>
    </row>
    <row r="4011" ht="53.25" customHeight="1">
      <c r="O4011" s="504"/>
    </row>
    <row r="4012" ht="53.25" customHeight="1">
      <c r="O4012" s="504"/>
    </row>
    <row r="4013" ht="53.25" customHeight="1">
      <c r="O4013" s="504"/>
    </row>
    <row r="4014" ht="53.25" customHeight="1">
      <c r="O4014" s="504"/>
    </row>
    <row r="4015" ht="53.25" customHeight="1">
      <c r="O4015" s="504"/>
    </row>
    <row r="4016" ht="53.25" customHeight="1">
      <c r="O4016" s="504"/>
    </row>
    <row r="4017" ht="53.25" customHeight="1">
      <c r="O4017" s="504"/>
    </row>
    <row r="4018" ht="53.25" customHeight="1">
      <c r="O4018" s="504"/>
    </row>
    <row r="4019" ht="53.25" customHeight="1">
      <c r="O4019" s="504"/>
    </row>
    <row r="4020" ht="53.25" customHeight="1">
      <c r="O4020" s="504"/>
    </row>
    <row r="4021" ht="53.25" customHeight="1">
      <c r="O4021" s="504"/>
    </row>
    <row r="4022" ht="53.25" customHeight="1">
      <c r="O4022" s="504"/>
    </row>
    <row r="4023" ht="53.25" customHeight="1">
      <c r="O4023" s="504"/>
    </row>
    <row r="4024" ht="53.25" customHeight="1">
      <c r="O4024" s="504"/>
    </row>
    <row r="4025" ht="53.25" customHeight="1">
      <c r="O4025" s="504"/>
    </row>
    <row r="4026" ht="53.25" customHeight="1">
      <c r="O4026" s="504"/>
    </row>
    <row r="4027" ht="53.25" customHeight="1">
      <c r="O4027" s="504"/>
    </row>
    <row r="4028" ht="53.25" customHeight="1">
      <c r="O4028" s="504"/>
    </row>
    <row r="4029" ht="53.25" customHeight="1">
      <c r="O4029" s="504"/>
    </row>
    <row r="4030" ht="53.25" customHeight="1">
      <c r="O4030" s="504"/>
    </row>
    <row r="4031" ht="53.25" customHeight="1">
      <c r="O4031" s="504"/>
    </row>
    <row r="4032" ht="53.25" customHeight="1">
      <c r="O4032" s="504"/>
    </row>
    <row r="4033" ht="53.25" customHeight="1">
      <c r="O4033" s="504"/>
    </row>
    <row r="4034" ht="53.25" customHeight="1">
      <c r="O4034" s="504"/>
    </row>
    <row r="4035" ht="53.25" customHeight="1">
      <c r="O4035" s="504"/>
    </row>
    <row r="4036" ht="53.25" customHeight="1">
      <c r="O4036" s="504"/>
    </row>
    <row r="4037" ht="53.25" customHeight="1">
      <c r="O4037" s="504"/>
    </row>
    <row r="4038" ht="53.25" customHeight="1">
      <c r="O4038" s="504"/>
    </row>
    <row r="4039" ht="53.25" customHeight="1">
      <c r="O4039" s="504"/>
    </row>
    <row r="4040" ht="53.25" customHeight="1">
      <c r="O4040" s="504"/>
    </row>
    <row r="4041" ht="53.25" customHeight="1">
      <c r="O4041" s="504"/>
    </row>
    <row r="4042" ht="53.25" customHeight="1">
      <c r="O4042" s="504"/>
    </row>
  </sheetData>
  <mergeCells count="29">
    <mergeCell ref="AE3:AE4"/>
    <mergeCell ref="AE38:AE39"/>
    <mergeCell ref="AE45:AE46"/>
    <mergeCell ref="AE7:AE8"/>
    <mergeCell ref="AB3:AB4"/>
    <mergeCell ref="AC3:AC4"/>
    <mergeCell ref="AD3:AD4"/>
    <mergeCell ref="AA3:AA4"/>
    <mergeCell ref="Q3:Q4"/>
    <mergeCell ref="R3:R4"/>
    <mergeCell ref="E3:E4"/>
    <mergeCell ref="Y3:Y4"/>
    <mergeCell ref="W3:W4"/>
    <mergeCell ref="X3:X4"/>
    <mergeCell ref="O3:O4"/>
    <mergeCell ref="P3:P4"/>
    <mergeCell ref="Z3:Z4"/>
    <mergeCell ref="S3:S4"/>
    <mergeCell ref="T3:T4"/>
    <mergeCell ref="U3:U4"/>
    <mergeCell ref="V3:V4"/>
    <mergeCell ref="A3:A4"/>
    <mergeCell ref="B3:B4"/>
    <mergeCell ref="C3:C4"/>
    <mergeCell ref="D3:D4"/>
    <mergeCell ref="AE79:AE80"/>
    <mergeCell ref="AE81:AE82"/>
    <mergeCell ref="AE83:AE84"/>
    <mergeCell ref="AE88:AE89"/>
  </mergeCells>
  <printOptions horizontalCentered="1"/>
  <pageMargins left="0.17" right="0.15748031496062992" top="0.15748031496062992" bottom="0.15748031496062992" header="0.15748031496062992" footer="0.15748031496062992"/>
  <pageSetup fitToHeight="7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B1:AH418"/>
  <sheetViews>
    <sheetView zoomScale="150" zoomScaleNormal="150" workbookViewId="0" topLeftCell="A83">
      <selection activeCell="AD91" sqref="AD91"/>
    </sheetView>
  </sheetViews>
  <sheetFormatPr defaultColWidth="9.140625" defaultRowHeight="12.75"/>
  <cols>
    <col min="1" max="1" width="3.7109375" style="24" customWidth="1"/>
    <col min="2" max="2" width="5.28125" style="24" customWidth="1"/>
    <col min="3" max="3" width="7.28125" style="24" customWidth="1"/>
    <col min="4" max="4" width="4.8515625" style="24" customWidth="1"/>
    <col min="5" max="5" width="40.57421875" style="24" customWidth="1"/>
    <col min="6" max="6" width="15.7109375" style="24" hidden="1" customWidth="1"/>
    <col min="7" max="7" width="13.421875" style="89" hidden="1" customWidth="1"/>
    <col min="8" max="8" width="12.00390625" style="24" hidden="1" customWidth="1"/>
    <col min="9" max="9" width="11.140625" style="24" hidden="1" customWidth="1"/>
    <col min="10" max="10" width="12.421875" style="24" hidden="1" customWidth="1"/>
    <col min="11" max="11" width="14.140625" style="24" hidden="1" customWidth="1"/>
    <col min="12" max="12" width="13.00390625" style="24" hidden="1" customWidth="1"/>
    <col min="13" max="13" width="15.140625" style="89" hidden="1" customWidth="1"/>
    <col min="14" max="15" width="12.140625" style="89" hidden="1" customWidth="1"/>
    <col min="16" max="16" width="13.57421875" style="89" hidden="1" customWidth="1"/>
    <col min="17" max="17" width="18.7109375" style="90" customWidth="1"/>
    <col min="18" max="18" width="13.57421875" style="24" hidden="1" customWidth="1"/>
    <col min="19" max="27" width="14.00390625" style="24" hidden="1" customWidth="1"/>
    <col min="28" max="28" width="15.28125" style="24" hidden="1" customWidth="1"/>
    <col min="29" max="29" width="13.28125" style="24" hidden="1" customWidth="1"/>
    <col min="30" max="30" width="17.421875" style="24" customWidth="1"/>
    <col min="31" max="31" width="0.13671875" style="24" hidden="1" customWidth="1"/>
    <col min="32" max="32" width="8.00390625" style="24" customWidth="1"/>
    <col min="33" max="33" width="10.8515625" style="24" bestFit="1" customWidth="1"/>
    <col min="34" max="36" width="11.57421875" style="24" customWidth="1"/>
    <col min="37" max="16384" width="9.140625" style="24" customWidth="1"/>
  </cols>
  <sheetData>
    <row r="1" spans="2:32" ht="24.75" customHeight="1">
      <c r="B1" s="25" t="s">
        <v>1188</v>
      </c>
      <c r="C1" s="26"/>
      <c r="D1" s="27"/>
      <c r="F1" s="28"/>
      <c r="G1" s="29"/>
      <c r="H1" s="28"/>
      <c r="I1" s="28"/>
      <c r="J1" s="28"/>
      <c r="K1" s="28"/>
      <c r="L1" s="28"/>
      <c r="M1" s="29"/>
      <c r="N1" s="29"/>
      <c r="O1" s="29"/>
      <c r="P1" s="29"/>
      <c r="Q1" s="30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54"/>
      <c r="AE1" s="32"/>
      <c r="AF1" s="33" t="s">
        <v>1189</v>
      </c>
    </row>
    <row r="2" spans="2:32" ht="6" customHeight="1" thickBot="1">
      <c r="B2" s="25"/>
      <c r="C2" s="26"/>
      <c r="D2" s="27"/>
      <c r="F2" s="28"/>
      <c r="G2" s="29"/>
      <c r="H2" s="28"/>
      <c r="I2" s="28"/>
      <c r="J2" s="28"/>
      <c r="K2" s="28"/>
      <c r="L2" s="28"/>
      <c r="M2" s="29"/>
      <c r="N2" s="29"/>
      <c r="O2" s="29"/>
      <c r="P2" s="29"/>
      <c r="Q2" s="30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31"/>
      <c r="AE2" s="32"/>
      <c r="AF2" s="33"/>
    </row>
    <row r="3" spans="2:32" s="34" customFormat="1" ht="15.75" customHeight="1">
      <c r="B3" s="740" t="s">
        <v>71</v>
      </c>
      <c r="C3" s="749" t="s">
        <v>1190</v>
      </c>
      <c r="D3" s="749" t="s">
        <v>73</v>
      </c>
      <c r="E3" s="749" t="s">
        <v>74</v>
      </c>
      <c r="F3" s="753" t="s">
        <v>1191</v>
      </c>
      <c r="G3" s="603" t="s">
        <v>76</v>
      </c>
      <c r="H3" s="498"/>
      <c r="I3" s="498"/>
      <c r="J3" s="498"/>
      <c r="K3" s="604"/>
      <c r="L3" s="498"/>
      <c r="M3" s="603"/>
      <c r="N3" s="603" t="s">
        <v>91</v>
      </c>
      <c r="O3" s="603" t="s">
        <v>91</v>
      </c>
      <c r="P3" s="603" t="s">
        <v>91</v>
      </c>
      <c r="Q3" s="755" t="s">
        <v>1192</v>
      </c>
      <c r="R3" s="749" t="s">
        <v>78</v>
      </c>
      <c r="S3" s="749" t="s">
        <v>79</v>
      </c>
      <c r="T3" s="749" t="s">
        <v>80</v>
      </c>
      <c r="U3" s="749" t="s">
        <v>81</v>
      </c>
      <c r="V3" s="749" t="s">
        <v>82</v>
      </c>
      <c r="W3" s="749" t="s">
        <v>83</v>
      </c>
      <c r="X3" s="749" t="s">
        <v>84</v>
      </c>
      <c r="Y3" s="749" t="s">
        <v>85</v>
      </c>
      <c r="Z3" s="749" t="s">
        <v>86</v>
      </c>
      <c r="AA3" s="749" t="s">
        <v>87</v>
      </c>
      <c r="AB3" s="749" t="s">
        <v>88</v>
      </c>
      <c r="AC3" s="749" t="s">
        <v>89</v>
      </c>
      <c r="AD3" s="751" t="s">
        <v>540</v>
      </c>
      <c r="AE3" s="756" t="s">
        <v>1193</v>
      </c>
      <c r="AF3" s="758" t="s">
        <v>90</v>
      </c>
    </row>
    <row r="4" spans="2:32" s="35" customFormat="1" ht="30.75" customHeight="1" thickBot="1">
      <c r="B4" s="741"/>
      <c r="C4" s="750"/>
      <c r="D4" s="750"/>
      <c r="E4" s="750"/>
      <c r="F4" s="754"/>
      <c r="G4" s="605" t="s">
        <v>1194</v>
      </c>
      <c r="H4" s="605" t="s">
        <v>1195</v>
      </c>
      <c r="I4" s="605" t="s">
        <v>1196</v>
      </c>
      <c r="J4" s="605" t="s">
        <v>1197</v>
      </c>
      <c r="K4" s="605" t="s">
        <v>541</v>
      </c>
      <c r="L4" s="605" t="s">
        <v>542</v>
      </c>
      <c r="M4" s="605" t="s">
        <v>466</v>
      </c>
      <c r="N4" s="605" t="s">
        <v>401</v>
      </c>
      <c r="O4" s="605" t="s">
        <v>468</v>
      </c>
      <c r="P4" s="605" t="s">
        <v>402</v>
      </c>
      <c r="Q4" s="739"/>
      <c r="R4" s="750"/>
      <c r="S4" s="750"/>
      <c r="T4" s="750"/>
      <c r="U4" s="750"/>
      <c r="V4" s="750"/>
      <c r="W4" s="750"/>
      <c r="X4" s="750"/>
      <c r="Y4" s="750"/>
      <c r="Z4" s="750"/>
      <c r="AA4" s="750"/>
      <c r="AB4" s="750"/>
      <c r="AC4" s="750"/>
      <c r="AD4" s="752"/>
      <c r="AE4" s="757"/>
      <c r="AF4" s="759"/>
    </row>
    <row r="5" spans="2:32" ht="12.75">
      <c r="B5" s="606"/>
      <c r="C5" s="607"/>
      <c r="D5" s="607"/>
      <c r="E5" s="607"/>
      <c r="F5" s="607"/>
      <c r="G5" s="608"/>
      <c r="H5" s="608"/>
      <c r="I5" s="608"/>
      <c r="J5" s="608"/>
      <c r="K5" s="608"/>
      <c r="L5" s="608"/>
      <c r="M5" s="608"/>
      <c r="N5" s="608"/>
      <c r="O5" s="608"/>
      <c r="P5" s="608"/>
      <c r="Q5" s="607"/>
      <c r="R5" s="607"/>
      <c r="S5" s="607"/>
      <c r="T5" s="607"/>
      <c r="U5" s="607"/>
      <c r="V5" s="607"/>
      <c r="W5" s="607"/>
      <c r="X5" s="607"/>
      <c r="Y5" s="607"/>
      <c r="Z5" s="607"/>
      <c r="AA5" s="607"/>
      <c r="AB5" s="607"/>
      <c r="AC5" s="607"/>
      <c r="AD5" s="609"/>
      <c r="AE5" s="609"/>
      <c r="AF5" s="610"/>
    </row>
    <row r="6" spans="2:32" ht="51" customHeight="1" hidden="1">
      <c r="B6" s="606"/>
      <c r="C6" s="607"/>
      <c r="D6" s="607"/>
      <c r="E6" s="607"/>
      <c r="F6" s="611" t="s">
        <v>1198</v>
      </c>
      <c r="G6" s="608"/>
      <c r="H6" s="608"/>
      <c r="I6" s="608"/>
      <c r="J6" s="608"/>
      <c r="K6" s="608"/>
      <c r="L6" s="608"/>
      <c r="M6" s="608"/>
      <c r="N6" s="608"/>
      <c r="O6" s="608"/>
      <c r="P6" s="608"/>
      <c r="Q6" s="607"/>
      <c r="R6" s="611" t="s">
        <v>1198</v>
      </c>
      <c r="S6" s="607"/>
      <c r="T6" s="607"/>
      <c r="U6" s="607"/>
      <c r="V6" s="607"/>
      <c r="W6" s="607"/>
      <c r="X6" s="607"/>
      <c r="Y6" s="607"/>
      <c r="Z6" s="607"/>
      <c r="AA6" s="607"/>
      <c r="AB6" s="607"/>
      <c r="AC6" s="607"/>
      <c r="AD6" s="609"/>
      <c r="AE6" s="609"/>
      <c r="AF6" s="610"/>
    </row>
    <row r="7" spans="2:32" ht="12.75">
      <c r="B7" s="612" t="s">
        <v>92</v>
      </c>
      <c r="C7" s="36"/>
      <c r="D7" s="36"/>
      <c r="E7" s="37" t="s">
        <v>93</v>
      </c>
      <c r="F7" s="38">
        <f>F8+F12+F15+F17+F19</f>
        <v>366300</v>
      </c>
      <c r="G7" s="39">
        <f aca="true" t="shared" si="0" ref="G7:AC7">G8+G12+G15+G17+G19</f>
        <v>20060</v>
      </c>
      <c r="H7" s="39">
        <f t="shared" si="0"/>
        <v>297290</v>
      </c>
      <c r="I7" s="39">
        <f t="shared" si="0"/>
        <v>0</v>
      </c>
      <c r="J7" s="39">
        <f t="shared" si="0"/>
        <v>527111</v>
      </c>
      <c r="K7" s="39">
        <f t="shared" si="0"/>
        <v>1020225</v>
      </c>
      <c r="L7" s="613">
        <f t="shared" si="0"/>
        <v>-263000</v>
      </c>
      <c r="M7" s="39">
        <f t="shared" si="0"/>
        <v>25000</v>
      </c>
      <c r="N7" s="39">
        <f t="shared" si="0"/>
        <v>0</v>
      </c>
      <c r="O7" s="39">
        <f t="shared" si="0"/>
        <v>218118</v>
      </c>
      <c r="P7" s="39">
        <f t="shared" si="0"/>
        <v>1700</v>
      </c>
      <c r="Q7" s="38">
        <f t="shared" si="0"/>
        <v>2212804</v>
      </c>
      <c r="R7" s="38">
        <f t="shared" si="0"/>
        <v>1575.67</v>
      </c>
      <c r="S7" s="38">
        <f t="shared" si="0"/>
        <v>4215.94</v>
      </c>
      <c r="T7" s="38">
        <f t="shared" si="0"/>
        <v>8780.09</v>
      </c>
      <c r="U7" s="38">
        <f t="shared" si="0"/>
        <v>12683.44</v>
      </c>
      <c r="V7" s="38">
        <f t="shared" si="0"/>
        <v>165329.44</v>
      </c>
      <c r="W7" s="38">
        <f>W8+W12+W15+W17+W19</f>
        <v>43105.59</v>
      </c>
      <c r="X7" s="38">
        <f>X8+X12+X15+X17+X19</f>
        <v>37124.82</v>
      </c>
      <c r="Y7" s="38">
        <f t="shared" si="0"/>
        <v>19045.489999999998</v>
      </c>
      <c r="Z7" s="38">
        <f t="shared" si="0"/>
        <v>46481.41</v>
      </c>
      <c r="AA7" s="38">
        <f>AA8+AA12+AA15+AA17+AA19</f>
        <v>51503.3</v>
      </c>
      <c r="AB7" s="38">
        <f t="shared" si="0"/>
        <v>578919.95</v>
      </c>
      <c r="AC7" s="38">
        <f t="shared" si="0"/>
        <v>233783.15999999997</v>
      </c>
      <c r="AD7" s="38">
        <f>AD8+AD12+AD15+AD17+AD19</f>
        <v>1202548.3</v>
      </c>
      <c r="AE7" s="38">
        <f>AE8+AE12+AE15+AE17+AE19</f>
        <v>1010255.7000000001</v>
      </c>
      <c r="AF7" s="614">
        <f aca="true" t="shared" si="1" ref="AF7:AF71">AD7*100/Q7</f>
        <v>54.344998472526264</v>
      </c>
    </row>
    <row r="8" spans="2:32" s="34" customFormat="1" ht="12.75">
      <c r="B8" s="40"/>
      <c r="C8" s="41" t="s">
        <v>1199</v>
      </c>
      <c r="D8" s="42"/>
      <c r="E8" s="43" t="s">
        <v>1200</v>
      </c>
      <c r="F8" s="44">
        <f>SUM(F9:F11)</f>
        <v>35000</v>
      </c>
      <c r="G8" s="45">
        <f aca="true" t="shared" si="2" ref="G8:AC8">SUM(G9:G11)</f>
        <v>0</v>
      </c>
      <c r="H8" s="45">
        <f t="shared" si="2"/>
        <v>0</v>
      </c>
      <c r="I8" s="45">
        <f t="shared" si="2"/>
        <v>0</v>
      </c>
      <c r="J8" s="45">
        <f t="shared" si="2"/>
        <v>0</v>
      </c>
      <c r="K8" s="45">
        <f t="shared" si="2"/>
        <v>0</v>
      </c>
      <c r="L8" s="45">
        <f t="shared" si="2"/>
        <v>0</v>
      </c>
      <c r="M8" s="45">
        <f t="shared" si="2"/>
        <v>25000</v>
      </c>
      <c r="N8" s="45">
        <f t="shared" si="2"/>
        <v>0</v>
      </c>
      <c r="O8" s="45">
        <f t="shared" si="2"/>
        <v>0</v>
      </c>
      <c r="P8" s="45">
        <f t="shared" si="2"/>
        <v>0</v>
      </c>
      <c r="Q8" s="46">
        <f t="shared" si="2"/>
        <v>60000</v>
      </c>
      <c r="R8" s="44">
        <f t="shared" si="2"/>
        <v>0</v>
      </c>
      <c r="S8" s="44">
        <f t="shared" si="2"/>
        <v>0</v>
      </c>
      <c r="T8" s="44">
        <f t="shared" si="2"/>
        <v>8100</v>
      </c>
      <c r="U8" s="44">
        <f t="shared" si="2"/>
        <v>1576.9</v>
      </c>
      <c r="V8" s="44">
        <f t="shared" si="2"/>
        <v>4700</v>
      </c>
      <c r="W8" s="44">
        <f t="shared" si="2"/>
        <v>2970.63</v>
      </c>
      <c r="X8" s="44">
        <f t="shared" si="2"/>
        <v>7150</v>
      </c>
      <c r="Y8" s="44">
        <f t="shared" si="2"/>
        <v>129.5</v>
      </c>
      <c r="Z8" s="44">
        <f t="shared" si="2"/>
        <v>10987.310000000001</v>
      </c>
      <c r="AA8" s="44">
        <f>SUM(AA9:AA11)</f>
        <v>2350</v>
      </c>
      <c r="AB8" s="44">
        <f t="shared" si="2"/>
        <v>1842.04</v>
      </c>
      <c r="AC8" s="44">
        <f t="shared" si="2"/>
        <v>14253.73</v>
      </c>
      <c r="AD8" s="44">
        <f>SUM(AD9:AD11)</f>
        <v>54060.11</v>
      </c>
      <c r="AE8" s="44">
        <f>SUM(AE9:AE11)</f>
        <v>5939.889999999998</v>
      </c>
      <c r="AF8" s="615">
        <f t="shared" si="1"/>
        <v>90.10018333333333</v>
      </c>
    </row>
    <row r="9" spans="2:34" s="34" customFormat="1" ht="12.75">
      <c r="B9" s="40"/>
      <c r="C9" s="47"/>
      <c r="D9" s="48">
        <v>4210</v>
      </c>
      <c r="E9" s="49" t="s">
        <v>1201</v>
      </c>
      <c r="F9" s="50">
        <v>4000</v>
      </c>
      <c r="G9" s="51"/>
      <c r="H9" s="51"/>
      <c r="I9" s="51"/>
      <c r="J9" s="51"/>
      <c r="K9" s="51"/>
      <c r="L9" s="51"/>
      <c r="M9" s="72">
        <v>-2000</v>
      </c>
      <c r="N9" s="72"/>
      <c r="O9" s="51"/>
      <c r="P9" s="51"/>
      <c r="Q9" s="52">
        <f>F9+G9+H9+I9+J9+K9+L9+M9+N9+O9+P9</f>
        <v>2000</v>
      </c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3">
        <f>SUM(R9:AC9)</f>
        <v>0</v>
      </c>
      <c r="AE9" s="50">
        <f>Q9-AD9</f>
        <v>2000</v>
      </c>
      <c r="AF9" s="616">
        <f t="shared" si="1"/>
        <v>0</v>
      </c>
      <c r="AH9" s="54"/>
    </row>
    <row r="10" spans="2:34" s="34" customFormat="1" ht="12.75" customHeight="1">
      <c r="B10" s="40"/>
      <c r="C10" s="47"/>
      <c r="D10" s="48">
        <v>4270</v>
      </c>
      <c r="E10" s="49" t="s">
        <v>1202</v>
      </c>
      <c r="F10" s="50">
        <v>30000</v>
      </c>
      <c r="G10" s="51"/>
      <c r="H10" s="51"/>
      <c r="I10" s="51"/>
      <c r="J10" s="51"/>
      <c r="K10" s="51"/>
      <c r="L10" s="51"/>
      <c r="M10" s="51">
        <v>25000</v>
      </c>
      <c r="N10" s="51"/>
      <c r="O10" s="51"/>
      <c r="P10" s="51"/>
      <c r="Q10" s="52">
        <f>F10+G10+H10+I10+J10+K10+L10+M10+N10+O10+P10</f>
        <v>55000</v>
      </c>
      <c r="R10" s="50"/>
      <c r="S10" s="50"/>
      <c r="T10" s="50">
        <v>8100</v>
      </c>
      <c r="U10" s="50">
        <v>1576.9</v>
      </c>
      <c r="V10" s="50">
        <v>4700</v>
      </c>
      <c r="W10" s="50">
        <v>2970.63</v>
      </c>
      <c r="X10" s="50">
        <v>7150</v>
      </c>
      <c r="Y10" s="50"/>
      <c r="Z10" s="50">
        <v>10033.27</v>
      </c>
      <c r="AA10" s="50">
        <v>2350</v>
      </c>
      <c r="AB10" s="50">
        <v>1000</v>
      </c>
      <c r="AC10" s="50">
        <v>13325</v>
      </c>
      <c r="AD10" s="53">
        <f>SUM(R10:AC10)</f>
        <v>51205.8</v>
      </c>
      <c r="AE10" s="50">
        <f>Q10-AD10</f>
        <v>3794.199999999997</v>
      </c>
      <c r="AF10" s="616">
        <f t="shared" si="1"/>
        <v>93.10145454545454</v>
      </c>
      <c r="AH10" s="54"/>
    </row>
    <row r="11" spans="2:34" s="34" customFormat="1" ht="12.75">
      <c r="B11" s="40"/>
      <c r="C11" s="47"/>
      <c r="D11" s="48">
        <v>4300</v>
      </c>
      <c r="E11" s="49" t="s">
        <v>1203</v>
      </c>
      <c r="F11" s="50">
        <v>1000</v>
      </c>
      <c r="G11" s="51"/>
      <c r="H11" s="51"/>
      <c r="I11" s="51"/>
      <c r="J11" s="51"/>
      <c r="K11" s="51"/>
      <c r="L11" s="51"/>
      <c r="M11" s="51">
        <v>2000</v>
      </c>
      <c r="N11" s="51"/>
      <c r="O11" s="51"/>
      <c r="P11" s="51"/>
      <c r="Q11" s="52">
        <f>F11+G11+H11+I11+J11+K11+L11+M11+N11+O11+P11</f>
        <v>3000</v>
      </c>
      <c r="R11" s="50"/>
      <c r="S11" s="50"/>
      <c r="T11" s="50"/>
      <c r="U11" s="50"/>
      <c r="V11" s="50"/>
      <c r="W11" s="50"/>
      <c r="X11" s="50"/>
      <c r="Y11" s="50">
        <v>129.5</v>
      </c>
      <c r="Z11" s="50">
        <v>954.04</v>
      </c>
      <c r="AA11" s="50"/>
      <c r="AB11" s="50">
        <v>842.04</v>
      </c>
      <c r="AC11" s="50">
        <v>928.73</v>
      </c>
      <c r="AD11" s="53">
        <f>SUM(R11:AC11)</f>
        <v>2854.31</v>
      </c>
      <c r="AE11" s="50">
        <f>Q11-AD11</f>
        <v>145.69000000000005</v>
      </c>
      <c r="AF11" s="616">
        <f t="shared" si="1"/>
        <v>95.14366666666666</v>
      </c>
      <c r="AH11" s="54"/>
    </row>
    <row r="12" spans="2:32" s="34" customFormat="1" ht="12.75">
      <c r="B12" s="40"/>
      <c r="C12" s="41" t="s">
        <v>94</v>
      </c>
      <c r="D12" s="42"/>
      <c r="E12" s="43" t="s">
        <v>95</v>
      </c>
      <c r="F12" s="44">
        <f>SUM(F13:F14)</f>
        <v>259500</v>
      </c>
      <c r="G12" s="45">
        <f aca="true" t="shared" si="3" ref="G12:AC12">SUM(G13:G14)</f>
        <v>20060</v>
      </c>
      <c r="H12" s="45">
        <f t="shared" si="3"/>
        <v>297290</v>
      </c>
      <c r="I12" s="45">
        <f t="shared" si="3"/>
        <v>0</v>
      </c>
      <c r="J12" s="45">
        <f t="shared" si="3"/>
        <v>369454</v>
      </c>
      <c r="K12" s="45">
        <f t="shared" si="3"/>
        <v>1020225</v>
      </c>
      <c r="L12" s="70">
        <f t="shared" si="3"/>
        <v>-263000</v>
      </c>
      <c r="M12" s="45">
        <f t="shared" si="3"/>
        <v>0</v>
      </c>
      <c r="N12" s="45">
        <f t="shared" si="3"/>
        <v>0</v>
      </c>
      <c r="O12" s="45">
        <f t="shared" si="3"/>
        <v>116742</v>
      </c>
      <c r="P12" s="45">
        <f t="shared" si="3"/>
        <v>0</v>
      </c>
      <c r="Q12" s="46">
        <f t="shared" si="3"/>
        <v>1820271</v>
      </c>
      <c r="R12" s="44">
        <f t="shared" si="3"/>
        <v>0</v>
      </c>
      <c r="S12" s="44">
        <f t="shared" si="3"/>
        <v>3782</v>
      </c>
      <c r="T12" s="44">
        <f t="shared" si="3"/>
        <v>0</v>
      </c>
      <c r="U12" s="44">
        <f t="shared" si="3"/>
        <v>6827.1</v>
      </c>
      <c r="V12" s="44">
        <f t="shared" si="3"/>
        <v>5578.5</v>
      </c>
      <c r="W12" s="44">
        <f t="shared" si="3"/>
        <v>33537.99</v>
      </c>
      <c r="X12" s="44">
        <f t="shared" si="3"/>
        <v>29168.21</v>
      </c>
      <c r="Y12" s="44">
        <f t="shared" si="3"/>
        <v>10000</v>
      </c>
      <c r="Z12" s="44">
        <f t="shared" si="3"/>
        <v>12523.310000000001</v>
      </c>
      <c r="AA12" s="44">
        <f>SUM(AA13:AA14)</f>
        <v>38805.98</v>
      </c>
      <c r="AB12" s="44">
        <f t="shared" si="3"/>
        <v>476952.42</v>
      </c>
      <c r="AC12" s="44">
        <f t="shared" si="3"/>
        <v>212144.12999999998</v>
      </c>
      <c r="AD12" s="44">
        <f>SUM(AD13:AD14)</f>
        <v>829319.64</v>
      </c>
      <c r="AE12" s="44">
        <f>SUM(AE13:AE14)</f>
        <v>990951.36</v>
      </c>
      <c r="AF12" s="615">
        <f t="shared" si="1"/>
        <v>45.56022921861635</v>
      </c>
    </row>
    <row r="13" spans="2:32" s="34" customFormat="1" ht="12.75">
      <c r="B13" s="40"/>
      <c r="C13" s="41"/>
      <c r="D13" s="48">
        <v>4300</v>
      </c>
      <c r="E13" s="49" t="s">
        <v>1203</v>
      </c>
      <c r="F13" s="50">
        <v>30000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2">
        <f>F13+G13+H13+I13+J13+K13+L13+M13+N13+O13+P13</f>
        <v>30000</v>
      </c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3">
        <f>SUM(R13:AC13)</f>
        <v>0</v>
      </c>
      <c r="AE13" s="50">
        <f>Q13-AD13</f>
        <v>30000</v>
      </c>
      <c r="AF13" s="616">
        <f>AD13*100/Q13</f>
        <v>0</v>
      </c>
    </row>
    <row r="14" spans="2:33" s="34" customFormat="1" ht="12.75">
      <c r="B14" s="617"/>
      <c r="C14" s="47"/>
      <c r="D14" s="48">
        <v>6050</v>
      </c>
      <c r="E14" s="49" t="s">
        <v>1204</v>
      </c>
      <c r="F14" s="53">
        <f>30000+10000+70000+31500+9000+24000+55000</f>
        <v>229500</v>
      </c>
      <c r="G14" s="55">
        <f>3500+12000+4560</f>
        <v>20060</v>
      </c>
      <c r="H14" s="55">
        <f>290440+6850</f>
        <v>297290</v>
      </c>
      <c r="I14" s="55"/>
      <c r="J14" s="55">
        <f>324000+19154+25000+1300</f>
        <v>369454</v>
      </c>
      <c r="K14" s="55">
        <f>20225+1000000</f>
        <v>1020225</v>
      </c>
      <c r="L14" s="359">
        <v>-263000</v>
      </c>
      <c r="M14" s="55"/>
      <c r="N14" s="55"/>
      <c r="O14" s="55">
        <f>60000+28000+5300+3000+10500+3000+16000+366-6000-3424</f>
        <v>116742</v>
      </c>
      <c r="P14" s="55"/>
      <c r="Q14" s="52">
        <f>F14+G14+H14+I14+J14+K14+L14+M14+N14+O14+P14</f>
        <v>1790271</v>
      </c>
      <c r="R14" s="53"/>
      <c r="S14" s="53">
        <v>3782</v>
      </c>
      <c r="T14" s="53"/>
      <c r="U14" s="53">
        <v>6827.1</v>
      </c>
      <c r="V14" s="53">
        <f>4494+1084.5</f>
        <v>5578.5</v>
      </c>
      <c r="W14" s="53">
        <f>32894.25+643.74</f>
        <v>33537.99</v>
      </c>
      <c r="X14" s="53">
        <f>28704.66+463.55</f>
        <v>29168.21</v>
      </c>
      <c r="Y14" s="53">
        <v>10000</v>
      </c>
      <c r="Z14" s="53">
        <f>11986.1+537.21</f>
        <v>12523.310000000001</v>
      </c>
      <c r="AA14" s="53">
        <f>35366+3439.98</f>
        <v>38805.98</v>
      </c>
      <c r="AB14" s="53">
        <f>51910+425042.42</f>
        <v>476952.42</v>
      </c>
      <c r="AC14" s="53">
        <f>203010.8+9000+133.33</f>
        <v>212144.12999999998</v>
      </c>
      <c r="AD14" s="53">
        <f>SUM(R14:AC14)</f>
        <v>829319.64</v>
      </c>
      <c r="AE14" s="50">
        <f>Q14-AD14</f>
        <v>960951.36</v>
      </c>
      <c r="AF14" s="616">
        <f t="shared" si="1"/>
        <v>46.32369289342228</v>
      </c>
      <c r="AG14" s="54"/>
    </row>
    <row r="15" spans="2:32" s="34" customFormat="1" ht="51">
      <c r="B15" s="40"/>
      <c r="C15" s="41" t="s">
        <v>1205</v>
      </c>
      <c r="D15" s="42"/>
      <c r="E15" s="43" t="s">
        <v>1206</v>
      </c>
      <c r="F15" s="44">
        <f>SUM(F16:F16)</f>
        <v>7700</v>
      </c>
      <c r="G15" s="45">
        <f aca="true" t="shared" si="4" ref="G15:P15">SUM(G16:G16)</f>
        <v>0</v>
      </c>
      <c r="H15" s="45">
        <f t="shared" si="4"/>
        <v>0</v>
      </c>
      <c r="I15" s="45">
        <f t="shared" si="4"/>
        <v>0</v>
      </c>
      <c r="J15" s="45">
        <f t="shared" si="4"/>
        <v>0</v>
      </c>
      <c r="K15" s="45">
        <f t="shared" si="4"/>
        <v>0</v>
      </c>
      <c r="L15" s="45">
        <f t="shared" si="4"/>
        <v>0</v>
      </c>
      <c r="M15" s="45">
        <f t="shared" si="4"/>
        <v>0</v>
      </c>
      <c r="N15" s="45">
        <f t="shared" si="4"/>
        <v>0</v>
      </c>
      <c r="O15" s="45">
        <f t="shared" si="4"/>
        <v>0</v>
      </c>
      <c r="P15" s="45">
        <f t="shared" si="4"/>
        <v>0</v>
      </c>
      <c r="Q15" s="46">
        <f>SUM(Q16:Q16)</f>
        <v>7700</v>
      </c>
      <c r="R15" s="44">
        <f>SUM(R16:R16)</f>
        <v>428</v>
      </c>
      <c r="S15" s="44">
        <f aca="true" t="shared" si="5" ref="S15:AC15">SUM(S16:S16)</f>
        <v>428</v>
      </c>
      <c r="T15" s="44">
        <f t="shared" si="5"/>
        <v>428</v>
      </c>
      <c r="U15" s="44">
        <f t="shared" si="5"/>
        <v>428</v>
      </c>
      <c r="V15" s="44">
        <f t="shared" si="5"/>
        <v>428</v>
      </c>
      <c r="W15" s="44">
        <f t="shared" si="5"/>
        <v>428</v>
      </c>
      <c r="X15" s="44">
        <f t="shared" si="5"/>
        <v>428</v>
      </c>
      <c r="Y15" s="44">
        <f t="shared" si="5"/>
        <v>428</v>
      </c>
      <c r="Z15" s="44">
        <f t="shared" si="5"/>
        <v>428</v>
      </c>
      <c r="AA15" s="44">
        <f>SUM(AA16:AA16)</f>
        <v>428</v>
      </c>
      <c r="AB15" s="44">
        <f t="shared" si="5"/>
        <v>428</v>
      </c>
      <c r="AC15" s="44">
        <f t="shared" si="5"/>
        <v>428</v>
      </c>
      <c r="AD15" s="44">
        <f>SUM(AD16:AD16)</f>
        <v>5136</v>
      </c>
      <c r="AE15" s="44">
        <f>SUM(AE16:AE16)</f>
        <v>2564</v>
      </c>
      <c r="AF15" s="615">
        <f t="shared" si="1"/>
        <v>66.7012987012987</v>
      </c>
    </row>
    <row r="16" spans="2:32" s="34" customFormat="1" ht="12.75">
      <c r="B16" s="40"/>
      <c r="C16" s="48"/>
      <c r="D16" s="48">
        <v>4300</v>
      </c>
      <c r="E16" s="49" t="s">
        <v>1203</v>
      </c>
      <c r="F16" s="50">
        <v>7700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2">
        <f>F16+G16+H16+I16+J16+K16+L16+M16+N16+O16+P16</f>
        <v>7700</v>
      </c>
      <c r="R16" s="50">
        <v>428</v>
      </c>
      <c r="S16" s="50">
        <v>428</v>
      </c>
      <c r="T16" s="50">
        <v>428</v>
      </c>
      <c r="U16" s="50">
        <v>428</v>
      </c>
      <c r="V16" s="50">
        <v>428</v>
      </c>
      <c r="W16" s="50">
        <v>428</v>
      </c>
      <c r="X16" s="50">
        <v>428</v>
      </c>
      <c r="Y16" s="50">
        <v>428</v>
      </c>
      <c r="Z16" s="50">
        <v>428</v>
      </c>
      <c r="AA16" s="50">
        <v>428</v>
      </c>
      <c r="AB16" s="50">
        <v>428</v>
      </c>
      <c r="AC16" s="50">
        <v>428</v>
      </c>
      <c r="AD16" s="53">
        <f>SUM(R16:AC16)</f>
        <v>5136</v>
      </c>
      <c r="AE16" s="50">
        <f>Q16-AD16</f>
        <v>2564</v>
      </c>
      <c r="AF16" s="616">
        <f t="shared" si="1"/>
        <v>66.7012987012987</v>
      </c>
    </row>
    <row r="17" spans="2:32" s="34" customFormat="1" ht="12.75">
      <c r="B17" s="40"/>
      <c r="C17" s="41" t="s">
        <v>1207</v>
      </c>
      <c r="D17" s="48"/>
      <c r="E17" s="43" t="s">
        <v>1208</v>
      </c>
      <c r="F17" s="44">
        <f aca="true" t="shared" si="6" ref="F17:AE17">SUM(F18)</f>
        <v>16100</v>
      </c>
      <c r="G17" s="45">
        <f t="shared" si="6"/>
        <v>0</v>
      </c>
      <c r="H17" s="45">
        <f t="shared" si="6"/>
        <v>0</v>
      </c>
      <c r="I17" s="45">
        <f t="shared" si="6"/>
        <v>0</v>
      </c>
      <c r="J17" s="45">
        <f t="shared" si="6"/>
        <v>0</v>
      </c>
      <c r="K17" s="45">
        <f t="shared" si="6"/>
        <v>0</v>
      </c>
      <c r="L17" s="45">
        <f t="shared" si="6"/>
        <v>0</v>
      </c>
      <c r="M17" s="45">
        <f t="shared" si="6"/>
        <v>0</v>
      </c>
      <c r="N17" s="45">
        <f t="shared" si="6"/>
        <v>0</v>
      </c>
      <c r="O17" s="45">
        <f t="shared" si="6"/>
        <v>0</v>
      </c>
      <c r="P17" s="45">
        <f t="shared" si="6"/>
        <v>1700</v>
      </c>
      <c r="Q17" s="46">
        <f>SUM(Q18)</f>
        <v>17800</v>
      </c>
      <c r="R17" s="44">
        <f t="shared" si="6"/>
        <v>1147.67</v>
      </c>
      <c r="S17" s="44">
        <f t="shared" si="6"/>
        <v>5.94</v>
      </c>
      <c r="T17" s="44">
        <f t="shared" si="6"/>
        <v>252.09</v>
      </c>
      <c r="U17" s="44">
        <f t="shared" si="6"/>
        <v>3851.44</v>
      </c>
      <c r="V17" s="44">
        <f t="shared" si="6"/>
        <v>0</v>
      </c>
      <c r="W17" s="44">
        <f t="shared" si="6"/>
        <v>3077.66</v>
      </c>
      <c r="X17" s="44">
        <f t="shared" si="6"/>
        <v>436.11</v>
      </c>
      <c r="Y17" s="44">
        <f t="shared" si="6"/>
        <v>296.89</v>
      </c>
      <c r="Z17" s="44">
        <f t="shared" si="6"/>
        <v>14.81</v>
      </c>
      <c r="AA17" s="44">
        <f>SUM(AA18)</f>
        <v>3349.32</v>
      </c>
      <c r="AB17" s="44">
        <f t="shared" si="6"/>
        <v>310.13</v>
      </c>
      <c r="AC17" s="44">
        <f t="shared" si="6"/>
        <v>4969.55</v>
      </c>
      <c r="AD17" s="44">
        <f t="shared" si="6"/>
        <v>17711.609999999997</v>
      </c>
      <c r="AE17" s="44">
        <f t="shared" si="6"/>
        <v>88.39000000000306</v>
      </c>
      <c r="AF17" s="615">
        <f t="shared" si="1"/>
        <v>99.50342696629212</v>
      </c>
    </row>
    <row r="18" spans="2:32" s="34" customFormat="1" ht="25.5">
      <c r="B18" s="40"/>
      <c r="C18" s="48"/>
      <c r="D18" s="48">
        <v>2850</v>
      </c>
      <c r="E18" s="49" t="s">
        <v>1209</v>
      </c>
      <c r="F18" s="50">
        <v>16100</v>
      </c>
      <c r="G18" s="51"/>
      <c r="H18" s="51"/>
      <c r="I18" s="51"/>
      <c r="J18" s="51"/>
      <c r="K18" s="51"/>
      <c r="L18" s="51"/>
      <c r="M18" s="51"/>
      <c r="N18" s="51"/>
      <c r="O18" s="51"/>
      <c r="P18" s="51">
        <v>1700</v>
      </c>
      <c r="Q18" s="52">
        <f>F18+G18+H18+I18+J18+K18+L18+M18+N18+O18+P18</f>
        <v>17800</v>
      </c>
      <c r="R18" s="50">
        <v>1147.67</v>
      </c>
      <c r="S18" s="50">
        <v>5.94</v>
      </c>
      <c r="T18" s="50">
        <v>252.09</v>
      </c>
      <c r="U18" s="50">
        <v>3851.44</v>
      </c>
      <c r="V18" s="50"/>
      <c r="W18" s="50">
        <v>3077.66</v>
      </c>
      <c r="X18" s="50">
        <v>436.11</v>
      </c>
      <c r="Y18" s="50">
        <v>296.89</v>
      </c>
      <c r="Z18" s="50">
        <v>14.81</v>
      </c>
      <c r="AA18" s="50">
        <v>3349.32</v>
      </c>
      <c r="AB18" s="50">
        <v>310.13</v>
      </c>
      <c r="AC18" s="50">
        <v>4969.55</v>
      </c>
      <c r="AD18" s="53">
        <f>SUM(R18:AC18)</f>
        <v>17711.609999999997</v>
      </c>
      <c r="AE18" s="50">
        <f>Q18-AD18</f>
        <v>88.39000000000306</v>
      </c>
      <c r="AF18" s="616">
        <f t="shared" si="1"/>
        <v>99.50342696629212</v>
      </c>
    </row>
    <row r="19" spans="2:32" s="34" customFormat="1" ht="12.75">
      <c r="B19" s="40"/>
      <c r="C19" s="41" t="s">
        <v>98</v>
      </c>
      <c r="D19" s="42"/>
      <c r="E19" s="43" t="s">
        <v>99</v>
      </c>
      <c r="F19" s="44">
        <f>F21+F20</f>
        <v>48000</v>
      </c>
      <c r="G19" s="45">
        <f aca="true" t="shared" si="7" ref="G19:L19">G21+G20</f>
        <v>0</v>
      </c>
      <c r="H19" s="45">
        <f t="shared" si="7"/>
        <v>0</v>
      </c>
      <c r="I19" s="45">
        <f t="shared" si="7"/>
        <v>0</v>
      </c>
      <c r="J19" s="45">
        <f>J21+J20+J22</f>
        <v>157657</v>
      </c>
      <c r="K19" s="45">
        <f>K21+K20</f>
        <v>0</v>
      </c>
      <c r="L19" s="45">
        <f t="shared" si="7"/>
        <v>0</v>
      </c>
      <c r="M19" s="45">
        <f>M21+M20</f>
        <v>0</v>
      </c>
      <c r="N19" s="45">
        <f>N21+N20</f>
        <v>0</v>
      </c>
      <c r="O19" s="45">
        <f>O21+O20+O22</f>
        <v>101376</v>
      </c>
      <c r="P19" s="45">
        <f>P21+P20+P22</f>
        <v>0</v>
      </c>
      <c r="Q19" s="46">
        <f>Q21+Q20+Q22</f>
        <v>307033</v>
      </c>
      <c r="R19" s="44">
        <f>R21+R20</f>
        <v>0</v>
      </c>
      <c r="S19" s="44">
        <f aca="true" t="shared" si="8" ref="S19:AC19">S21+S20</f>
        <v>0</v>
      </c>
      <c r="T19" s="44">
        <f t="shared" si="8"/>
        <v>0</v>
      </c>
      <c r="U19" s="44">
        <f t="shared" si="8"/>
        <v>0</v>
      </c>
      <c r="V19" s="44">
        <f>V21+V20+V22</f>
        <v>154622.94</v>
      </c>
      <c r="W19" s="44">
        <f t="shared" si="8"/>
        <v>3091.31</v>
      </c>
      <c r="X19" s="44">
        <f t="shared" si="8"/>
        <v>-57.5</v>
      </c>
      <c r="Y19" s="44">
        <f t="shared" si="8"/>
        <v>8191.1</v>
      </c>
      <c r="Z19" s="44">
        <f t="shared" si="8"/>
        <v>22527.98</v>
      </c>
      <c r="AA19" s="44">
        <f>AA21+AA20</f>
        <v>6570</v>
      </c>
      <c r="AB19" s="44">
        <f>AB21+AB20+AB22</f>
        <v>99387.36</v>
      </c>
      <c r="AC19" s="44">
        <f t="shared" si="8"/>
        <v>1987.75</v>
      </c>
      <c r="AD19" s="44">
        <f>AD21+AD20+AD22</f>
        <v>296320.94</v>
      </c>
      <c r="AE19" s="44">
        <f>AE21+AE20+AE22</f>
        <v>10712.060000000014</v>
      </c>
      <c r="AF19" s="615">
        <f t="shared" si="1"/>
        <v>96.51110466953064</v>
      </c>
    </row>
    <row r="20" spans="2:32" s="34" customFormat="1" ht="12.75" customHeight="1">
      <c r="B20" s="40"/>
      <c r="C20" s="41"/>
      <c r="D20" s="48">
        <v>4210</v>
      </c>
      <c r="E20" s="49" t="s">
        <v>1201</v>
      </c>
      <c r="F20" s="50">
        <v>8000</v>
      </c>
      <c r="G20" s="51"/>
      <c r="H20" s="51"/>
      <c r="I20" s="51"/>
      <c r="J20" s="51">
        <v>1091</v>
      </c>
      <c r="K20" s="51"/>
      <c r="L20" s="51"/>
      <c r="M20" s="51"/>
      <c r="N20" s="51"/>
      <c r="O20" s="51">
        <v>988</v>
      </c>
      <c r="P20" s="51"/>
      <c r="Q20" s="52">
        <f>F20+G20+H20+I20+J20+K20+L20+M20+N20+O20+P20</f>
        <v>10079</v>
      </c>
      <c r="R20" s="50"/>
      <c r="S20" s="50"/>
      <c r="T20" s="50"/>
      <c r="U20" s="50"/>
      <c r="V20" s="50"/>
      <c r="W20" s="50">
        <v>1091.31</v>
      </c>
      <c r="X20" s="50"/>
      <c r="Y20" s="50">
        <v>1302.14</v>
      </c>
      <c r="Z20" s="50">
        <v>450.77</v>
      </c>
      <c r="AA20" s="50"/>
      <c r="AB20" s="50"/>
      <c r="AC20" s="50">
        <v>987.75</v>
      </c>
      <c r="AD20" s="53">
        <f>SUM(R20:AC20)</f>
        <v>3831.97</v>
      </c>
      <c r="AE20" s="50">
        <f>Q20-AD20</f>
        <v>6247.030000000001</v>
      </c>
      <c r="AF20" s="616">
        <f t="shared" si="1"/>
        <v>38.019347157456096</v>
      </c>
    </row>
    <row r="21" spans="2:32" s="34" customFormat="1" ht="12.75">
      <c r="B21" s="40"/>
      <c r="C21" s="48"/>
      <c r="D21" s="48">
        <v>4300</v>
      </c>
      <c r="E21" s="49" t="s">
        <v>1203</v>
      </c>
      <c r="F21" s="50">
        <v>40000</v>
      </c>
      <c r="G21" s="51"/>
      <c r="H21" s="51"/>
      <c r="I21" s="51"/>
      <c r="J21" s="51">
        <v>2000</v>
      </c>
      <c r="K21" s="51"/>
      <c r="L21" s="51"/>
      <c r="M21" s="51"/>
      <c r="N21" s="51"/>
      <c r="O21" s="51">
        <v>1000</v>
      </c>
      <c r="P21" s="51"/>
      <c r="Q21" s="52">
        <f>F21+G21+H21+I21+J21+K21+L21+M21+N21+O21+P21</f>
        <v>43000</v>
      </c>
      <c r="R21" s="50"/>
      <c r="S21" s="50"/>
      <c r="T21" s="50"/>
      <c r="U21" s="50"/>
      <c r="V21" s="50">
        <v>57.5</v>
      </c>
      <c r="W21" s="50">
        <v>2000</v>
      </c>
      <c r="X21" s="50">
        <v>-57.5</v>
      </c>
      <c r="Y21" s="50">
        <v>6888.96</v>
      </c>
      <c r="Z21" s="50">
        <v>22077.21</v>
      </c>
      <c r="AA21" s="50">
        <v>6570</v>
      </c>
      <c r="AB21" s="50"/>
      <c r="AC21" s="50">
        <v>1000</v>
      </c>
      <c r="AD21" s="53">
        <f>SUM(R21:AC21)</f>
        <v>38536.17</v>
      </c>
      <c r="AE21" s="50">
        <f>Q21-AD21</f>
        <v>4463.830000000002</v>
      </c>
      <c r="AF21" s="616">
        <f t="shared" si="1"/>
        <v>89.619</v>
      </c>
    </row>
    <row r="22" spans="2:32" s="34" customFormat="1" ht="12.75">
      <c r="B22" s="40"/>
      <c r="C22" s="48"/>
      <c r="D22" s="56">
        <v>4430</v>
      </c>
      <c r="E22" s="57" t="s">
        <v>1210</v>
      </c>
      <c r="F22" s="50"/>
      <c r="G22" s="51"/>
      <c r="H22" s="51"/>
      <c r="I22" s="51"/>
      <c r="J22" s="51">
        <v>154566</v>
      </c>
      <c r="K22" s="51"/>
      <c r="L22" s="51"/>
      <c r="M22" s="51"/>
      <c r="N22" s="51"/>
      <c r="O22" s="51">
        <v>99388</v>
      </c>
      <c r="P22" s="51"/>
      <c r="Q22" s="52">
        <f>F22+G22+H22+I22+J22+K22+L22+M22+N22+O22+P22</f>
        <v>253954</v>
      </c>
      <c r="R22" s="50"/>
      <c r="S22" s="50"/>
      <c r="T22" s="50"/>
      <c r="U22" s="50"/>
      <c r="V22" s="50">
        <v>154565.44</v>
      </c>
      <c r="W22" s="50"/>
      <c r="X22" s="50"/>
      <c r="Y22" s="50"/>
      <c r="Z22" s="50"/>
      <c r="AA22" s="50"/>
      <c r="AB22" s="50">
        <v>99387.36</v>
      </c>
      <c r="AC22" s="50"/>
      <c r="AD22" s="53">
        <f>SUM(R22:AC22)</f>
        <v>253952.8</v>
      </c>
      <c r="AE22" s="50">
        <f>Q22-AD22</f>
        <v>1.2000000000116415</v>
      </c>
      <c r="AF22" s="616">
        <f>AD22*100/Q22</f>
        <v>99.99952747347945</v>
      </c>
    </row>
    <row r="23" spans="2:32" s="34" customFormat="1" ht="12.75">
      <c r="B23" s="612" t="s">
        <v>103</v>
      </c>
      <c r="C23" s="36"/>
      <c r="D23" s="36"/>
      <c r="E23" s="37" t="s">
        <v>104</v>
      </c>
      <c r="F23" s="58">
        <f>F24</f>
        <v>2000</v>
      </c>
      <c r="G23" s="59">
        <f aca="true" t="shared" si="9" ref="G23:P23">G24</f>
        <v>0</v>
      </c>
      <c r="H23" s="59">
        <f t="shared" si="9"/>
        <v>0</v>
      </c>
      <c r="I23" s="59">
        <f t="shared" si="9"/>
        <v>0</v>
      </c>
      <c r="J23" s="59">
        <f t="shared" si="9"/>
        <v>0</v>
      </c>
      <c r="K23" s="59">
        <f t="shared" si="9"/>
        <v>0</v>
      </c>
      <c r="L23" s="59">
        <f t="shared" si="9"/>
        <v>0</v>
      </c>
      <c r="M23" s="59">
        <f t="shared" si="9"/>
        <v>0</v>
      </c>
      <c r="N23" s="59">
        <f t="shared" si="9"/>
        <v>0</v>
      </c>
      <c r="O23" s="59">
        <f t="shared" si="9"/>
        <v>0</v>
      </c>
      <c r="P23" s="59">
        <f t="shared" si="9"/>
        <v>0</v>
      </c>
      <c r="Q23" s="58">
        <f>Q24</f>
        <v>2000</v>
      </c>
      <c r="R23" s="58">
        <f>R24</f>
        <v>0</v>
      </c>
      <c r="S23" s="58">
        <f aca="true" t="shared" si="10" ref="S23:AC23">S24</f>
        <v>0</v>
      </c>
      <c r="T23" s="58">
        <f t="shared" si="10"/>
        <v>0</v>
      </c>
      <c r="U23" s="58">
        <f t="shared" si="10"/>
        <v>0</v>
      </c>
      <c r="V23" s="58">
        <f t="shared" si="10"/>
        <v>0</v>
      </c>
      <c r="W23" s="58">
        <f t="shared" si="10"/>
        <v>0</v>
      </c>
      <c r="X23" s="58">
        <f t="shared" si="10"/>
        <v>0</v>
      </c>
      <c r="Y23" s="58">
        <f t="shared" si="10"/>
        <v>889</v>
      </c>
      <c r="Z23" s="58">
        <f t="shared" si="10"/>
        <v>97</v>
      </c>
      <c r="AA23" s="58">
        <f>AA24</f>
        <v>459.6</v>
      </c>
      <c r="AB23" s="58">
        <f t="shared" si="10"/>
        <v>0</v>
      </c>
      <c r="AC23" s="58">
        <f t="shared" si="10"/>
        <v>535</v>
      </c>
      <c r="AD23" s="58">
        <f>AD24</f>
        <v>1980.6</v>
      </c>
      <c r="AE23" s="58">
        <f>AE24</f>
        <v>19.399999999999977</v>
      </c>
      <c r="AF23" s="614">
        <f t="shared" si="1"/>
        <v>99.03</v>
      </c>
    </row>
    <row r="24" spans="2:32" s="34" customFormat="1" ht="12.75">
      <c r="B24" s="40"/>
      <c r="C24" s="41" t="s">
        <v>105</v>
      </c>
      <c r="D24" s="42"/>
      <c r="E24" s="43" t="s">
        <v>99</v>
      </c>
      <c r="F24" s="44">
        <f>SUM(F25:F26)</f>
        <v>2000</v>
      </c>
      <c r="G24" s="45">
        <f aca="true" t="shared" si="11" ref="G24:L24">SUM(G25:G26)</f>
        <v>0</v>
      </c>
      <c r="H24" s="45">
        <f t="shared" si="11"/>
        <v>0</v>
      </c>
      <c r="I24" s="45">
        <f t="shared" si="11"/>
        <v>0</v>
      </c>
      <c r="J24" s="45">
        <f>SUM(J25:J26)</f>
        <v>0</v>
      </c>
      <c r="K24" s="45">
        <f t="shared" si="11"/>
        <v>0</v>
      </c>
      <c r="L24" s="45">
        <f t="shared" si="11"/>
        <v>0</v>
      </c>
      <c r="M24" s="45">
        <f>SUM(M25:M26)</f>
        <v>0</v>
      </c>
      <c r="N24" s="45">
        <f>SUM(N25:N26)</f>
        <v>0</v>
      </c>
      <c r="O24" s="45">
        <f>SUM(O25:O26)</f>
        <v>0</v>
      </c>
      <c r="P24" s="45">
        <f>SUM(P25:P26)</f>
        <v>0</v>
      </c>
      <c r="Q24" s="46">
        <f>Q25+Q26</f>
        <v>2000</v>
      </c>
      <c r="R24" s="44">
        <f>SUM(R25:R26)</f>
        <v>0</v>
      </c>
      <c r="S24" s="44">
        <f aca="true" t="shared" si="12" ref="S24:AB24">SUM(S25:S26)</f>
        <v>0</v>
      </c>
      <c r="T24" s="44">
        <f t="shared" si="12"/>
        <v>0</v>
      </c>
      <c r="U24" s="44">
        <f t="shared" si="12"/>
        <v>0</v>
      </c>
      <c r="V24" s="44">
        <f t="shared" si="12"/>
        <v>0</v>
      </c>
      <c r="W24" s="44">
        <f t="shared" si="12"/>
        <v>0</v>
      </c>
      <c r="X24" s="44">
        <f t="shared" si="12"/>
        <v>0</v>
      </c>
      <c r="Y24" s="44">
        <f t="shared" si="12"/>
        <v>889</v>
      </c>
      <c r="Z24" s="44">
        <f t="shared" si="12"/>
        <v>97</v>
      </c>
      <c r="AA24" s="44">
        <f t="shared" si="12"/>
        <v>459.6</v>
      </c>
      <c r="AB24" s="44">
        <f t="shared" si="12"/>
        <v>0</v>
      </c>
      <c r="AC24" s="44">
        <f>SUM(AC25:AC26)</f>
        <v>535</v>
      </c>
      <c r="AD24" s="44">
        <f>SUM(AD25:AD26)</f>
        <v>1980.6</v>
      </c>
      <c r="AE24" s="44">
        <f>SUM(AE25:AE26)</f>
        <v>19.399999999999977</v>
      </c>
      <c r="AF24" s="615">
        <f t="shared" si="1"/>
        <v>99.03</v>
      </c>
    </row>
    <row r="25" spans="2:32" s="34" customFormat="1" ht="12.75">
      <c r="B25" s="40"/>
      <c r="C25" s="47"/>
      <c r="D25" s="48">
        <v>4210</v>
      </c>
      <c r="E25" s="49" t="s">
        <v>1201</v>
      </c>
      <c r="F25" s="50">
        <v>1000</v>
      </c>
      <c r="G25" s="51"/>
      <c r="H25" s="51"/>
      <c r="I25" s="51"/>
      <c r="J25" s="51"/>
      <c r="K25" s="51"/>
      <c r="L25" s="51"/>
      <c r="M25" s="51"/>
      <c r="N25" s="51"/>
      <c r="O25" s="51"/>
      <c r="P25" s="51">
        <v>414</v>
      </c>
      <c r="Q25" s="52">
        <f>F25+G25+H25+I25+J25+K25+L25+M25+N25+O25+P25</f>
        <v>1414</v>
      </c>
      <c r="R25" s="50"/>
      <c r="S25" s="50"/>
      <c r="T25" s="50"/>
      <c r="U25" s="50"/>
      <c r="V25" s="50"/>
      <c r="W25" s="50"/>
      <c r="X25" s="50"/>
      <c r="Y25" s="50">
        <v>645</v>
      </c>
      <c r="Z25" s="50">
        <v>97</v>
      </c>
      <c r="AA25" s="50">
        <v>118</v>
      </c>
      <c r="AB25" s="50"/>
      <c r="AC25" s="50">
        <v>535</v>
      </c>
      <c r="AD25" s="53">
        <f>SUM(R25:AC25)</f>
        <v>1395</v>
      </c>
      <c r="AE25" s="50">
        <f>Q25-AD25</f>
        <v>19</v>
      </c>
      <c r="AF25" s="616">
        <f t="shared" si="1"/>
        <v>98.65629420084866</v>
      </c>
    </row>
    <row r="26" spans="2:32" s="34" customFormat="1" ht="12.75">
      <c r="B26" s="40"/>
      <c r="C26" s="47"/>
      <c r="D26" s="48">
        <v>4300</v>
      </c>
      <c r="E26" s="49" t="s">
        <v>1203</v>
      </c>
      <c r="F26" s="50">
        <v>1000</v>
      </c>
      <c r="G26" s="51"/>
      <c r="H26" s="51"/>
      <c r="I26" s="51"/>
      <c r="J26" s="51"/>
      <c r="K26" s="51"/>
      <c r="L26" s="51"/>
      <c r="M26" s="51"/>
      <c r="N26" s="51"/>
      <c r="O26" s="51"/>
      <c r="P26" s="72">
        <v>-414</v>
      </c>
      <c r="Q26" s="52">
        <f>F26+G26+H26+I26+J26+K26+L26+M26+N26+O26+P26</f>
        <v>586</v>
      </c>
      <c r="R26" s="50"/>
      <c r="S26" s="50"/>
      <c r="T26" s="50"/>
      <c r="U26" s="50"/>
      <c r="V26" s="50"/>
      <c r="W26" s="50"/>
      <c r="X26" s="50"/>
      <c r="Y26" s="50">
        <v>244</v>
      </c>
      <c r="Z26" s="50"/>
      <c r="AA26" s="50">
        <v>341.6</v>
      </c>
      <c r="AB26" s="50"/>
      <c r="AC26" s="50"/>
      <c r="AD26" s="53">
        <f>SUM(R26:AC26)</f>
        <v>585.6</v>
      </c>
      <c r="AE26" s="50">
        <f>Q26-AD26</f>
        <v>0.39999999999997726</v>
      </c>
      <c r="AF26" s="616">
        <f t="shared" si="1"/>
        <v>99.93174061433447</v>
      </c>
    </row>
    <row r="27" spans="2:32" s="34" customFormat="1" ht="12.75">
      <c r="B27" s="60">
        <v>600</v>
      </c>
      <c r="C27" s="61"/>
      <c r="D27" s="61"/>
      <c r="E27" s="62" t="s">
        <v>107</v>
      </c>
      <c r="F27" s="58">
        <f>F32+F28</f>
        <v>410000</v>
      </c>
      <c r="G27" s="59">
        <f aca="true" t="shared" si="13" ref="G27:AE27">G32+G28</f>
        <v>2485</v>
      </c>
      <c r="H27" s="59">
        <f t="shared" si="13"/>
        <v>128000</v>
      </c>
      <c r="I27" s="59">
        <f t="shared" si="13"/>
        <v>0</v>
      </c>
      <c r="J27" s="59">
        <f t="shared" si="13"/>
        <v>467200</v>
      </c>
      <c r="K27" s="59">
        <f t="shared" si="13"/>
        <v>537154</v>
      </c>
      <c r="L27" s="69">
        <f t="shared" si="13"/>
        <v>-20000</v>
      </c>
      <c r="M27" s="69">
        <f>M32+M28</f>
        <v>-147000</v>
      </c>
      <c r="N27" s="69">
        <f>N32+N28</f>
        <v>0</v>
      </c>
      <c r="O27" s="69">
        <f>O32+O28</f>
        <v>-27982</v>
      </c>
      <c r="P27" s="59">
        <f>P32+P28</f>
        <v>0</v>
      </c>
      <c r="Q27" s="58">
        <f t="shared" si="13"/>
        <v>1349857</v>
      </c>
      <c r="R27" s="58">
        <f t="shared" si="13"/>
        <v>0</v>
      </c>
      <c r="S27" s="58">
        <f t="shared" si="13"/>
        <v>2484.24</v>
      </c>
      <c r="T27" s="58">
        <f t="shared" si="13"/>
        <v>0</v>
      </c>
      <c r="U27" s="58">
        <f t="shared" si="13"/>
        <v>0</v>
      </c>
      <c r="V27" s="58">
        <f t="shared" si="13"/>
        <v>17690</v>
      </c>
      <c r="W27" s="58">
        <f t="shared" si="13"/>
        <v>0</v>
      </c>
      <c r="X27" s="58">
        <f t="shared" si="13"/>
        <v>0</v>
      </c>
      <c r="Y27" s="58">
        <f t="shared" si="13"/>
        <v>6</v>
      </c>
      <c r="Z27" s="58">
        <f t="shared" si="13"/>
        <v>188011.98</v>
      </c>
      <c r="AA27" s="58">
        <f t="shared" si="13"/>
        <v>0</v>
      </c>
      <c r="AB27" s="58">
        <f t="shared" si="13"/>
        <v>848852.85</v>
      </c>
      <c r="AC27" s="58">
        <f t="shared" si="13"/>
        <v>285281.22</v>
      </c>
      <c r="AD27" s="58">
        <f t="shared" si="13"/>
        <v>1342326.29</v>
      </c>
      <c r="AE27" s="58">
        <f t="shared" si="13"/>
        <v>7530.710000000041</v>
      </c>
      <c r="AF27" s="614">
        <f t="shared" si="1"/>
        <v>99.44211053467146</v>
      </c>
    </row>
    <row r="28" spans="2:32" s="63" customFormat="1" ht="12.75">
      <c r="B28" s="618"/>
      <c r="C28" s="42">
        <v>60014</v>
      </c>
      <c r="D28" s="42"/>
      <c r="E28" s="43" t="s">
        <v>108</v>
      </c>
      <c r="F28" s="64">
        <f>F29</f>
        <v>130000</v>
      </c>
      <c r="G28" s="65">
        <f>G29+G31</f>
        <v>2485</v>
      </c>
      <c r="H28" s="65">
        <f>H29+H30+H31</f>
        <v>128000</v>
      </c>
      <c r="I28" s="65">
        <f>I29</f>
        <v>0</v>
      </c>
      <c r="J28" s="65">
        <f>J29</f>
        <v>0</v>
      </c>
      <c r="K28" s="65">
        <f>K30+K29+K31</f>
        <v>19354</v>
      </c>
      <c r="L28" s="65">
        <f>L29</f>
        <v>0</v>
      </c>
      <c r="M28" s="65">
        <f>M29</f>
        <v>0</v>
      </c>
      <c r="N28" s="65">
        <f>N29</f>
        <v>0</v>
      </c>
      <c r="O28" s="80">
        <f>O29</f>
        <v>-10982</v>
      </c>
      <c r="P28" s="65">
        <f>P29</f>
        <v>0</v>
      </c>
      <c r="Q28" s="46">
        <f>Q30+Q29+Q31</f>
        <v>268857</v>
      </c>
      <c r="R28" s="64">
        <f>R29</f>
        <v>0</v>
      </c>
      <c r="S28" s="64">
        <f>S29+S31</f>
        <v>2484.24</v>
      </c>
      <c r="T28" s="64">
        <f aca="true" t="shared" si="14" ref="T28:AB28">T29</f>
        <v>0</v>
      </c>
      <c r="U28" s="64">
        <f t="shared" si="14"/>
        <v>0</v>
      </c>
      <c r="V28" s="64">
        <f t="shared" si="14"/>
        <v>0</v>
      </c>
      <c r="W28" s="64">
        <f t="shared" si="14"/>
        <v>0</v>
      </c>
      <c r="X28" s="64">
        <f t="shared" si="14"/>
        <v>0</v>
      </c>
      <c r="Y28" s="64">
        <f t="shared" si="14"/>
        <v>0</v>
      </c>
      <c r="Z28" s="64">
        <f t="shared" si="14"/>
        <v>0</v>
      </c>
      <c r="AA28" s="64">
        <f t="shared" si="14"/>
        <v>0</v>
      </c>
      <c r="AB28" s="64">
        <f t="shared" si="14"/>
        <v>0</v>
      </c>
      <c r="AC28" s="64">
        <f>AC30+AC29+AC31</f>
        <v>266371.22</v>
      </c>
      <c r="AD28" s="64">
        <f>AD30+AD29+AD31</f>
        <v>268855.45999999996</v>
      </c>
      <c r="AE28" s="64">
        <f>AE30+AE29+AE31</f>
        <v>1.5399999999990541</v>
      </c>
      <c r="AF28" s="615">
        <f t="shared" si="1"/>
        <v>99.99942720479659</v>
      </c>
    </row>
    <row r="29" spans="2:32" s="63" customFormat="1" ht="38.25">
      <c r="B29" s="618"/>
      <c r="C29" s="42"/>
      <c r="D29" s="48">
        <v>2710</v>
      </c>
      <c r="E29" s="49" t="s">
        <v>1211</v>
      </c>
      <c r="F29" s="66">
        <v>130000</v>
      </c>
      <c r="G29" s="67"/>
      <c r="H29" s="68">
        <v>-2000</v>
      </c>
      <c r="I29" s="67"/>
      <c r="J29" s="67"/>
      <c r="K29" s="67"/>
      <c r="L29" s="67"/>
      <c r="M29" s="67"/>
      <c r="N29" s="67"/>
      <c r="O29" s="68">
        <v>-10982</v>
      </c>
      <c r="P29" s="67"/>
      <c r="Q29" s="52">
        <f>F29+G29+H29+I29+J29+K29+L29+M29+N29+O29+P29</f>
        <v>117018</v>
      </c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>
        <v>117017.22</v>
      </c>
      <c r="AD29" s="53">
        <f>SUM(R29:AC29)</f>
        <v>117017.22</v>
      </c>
      <c r="AE29" s="50">
        <f>Q29-AD29</f>
        <v>0.7799999999988358</v>
      </c>
      <c r="AF29" s="616">
        <f>AD29*100/Q29</f>
        <v>99.99933343588165</v>
      </c>
    </row>
    <row r="30" spans="2:32" s="63" customFormat="1" ht="51">
      <c r="B30" s="618"/>
      <c r="C30" s="48"/>
      <c r="D30" s="48">
        <v>6300</v>
      </c>
      <c r="E30" s="49" t="s">
        <v>391</v>
      </c>
      <c r="F30" s="66"/>
      <c r="G30" s="67"/>
      <c r="H30" s="67">
        <v>130000</v>
      </c>
      <c r="I30" s="67"/>
      <c r="J30" s="67"/>
      <c r="K30" s="67">
        <v>19354</v>
      </c>
      <c r="L30" s="67"/>
      <c r="M30" s="67"/>
      <c r="N30" s="67"/>
      <c r="O30" s="67"/>
      <c r="P30" s="67"/>
      <c r="Q30" s="52">
        <f>F30+G30+H30+I30+J30+K30+L30+M30+N30+O30+P30</f>
        <v>149354</v>
      </c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>
        <v>149354</v>
      </c>
      <c r="AD30" s="53">
        <f>SUM(R30:AC30)</f>
        <v>149354</v>
      </c>
      <c r="AE30" s="50">
        <f>Q30-AD30</f>
        <v>0</v>
      </c>
      <c r="AF30" s="616">
        <f t="shared" si="1"/>
        <v>100</v>
      </c>
    </row>
    <row r="31" spans="2:32" s="63" customFormat="1" ht="12.75">
      <c r="B31" s="618"/>
      <c r="C31" s="48"/>
      <c r="D31" s="48">
        <v>8550</v>
      </c>
      <c r="E31" s="49" t="s">
        <v>392</v>
      </c>
      <c r="F31" s="66"/>
      <c r="G31" s="67">
        <v>2485</v>
      </c>
      <c r="H31" s="67"/>
      <c r="I31" s="67"/>
      <c r="J31" s="67"/>
      <c r="K31" s="67"/>
      <c r="L31" s="67"/>
      <c r="M31" s="67"/>
      <c r="N31" s="67"/>
      <c r="O31" s="67"/>
      <c r="P31" s="67"/>
      <c r="Q31" s="52">
        <f>F31+G31+H31+I31+J31+K31+L31+M31+N31+O31+P31</f>
        <v>2485</v>
      </c>
      <c r="R31" s="66"/>
      <c r="S31" s="66">
        <v>2484.24</v>
      </c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53">
        <f>SUM(R31:AC31)</f>
        <v>2484.24</v>
      </c>
      <c r="AE31" s="50">
        <f>Q31-AD31</f>
        <v>0.7600000000002183</v>
      </c>
      <c r="AF31" s="616">
        <f t="shared" si="1"/>
        <v>99.96941649899395</v>
      </c>
    </row>
    <row r="32" spans="2:32" s="34" customFormat="1" ht="12.75" customHeight="1">
      <c r="B32" s="40"/>
      <c r="C32" s="42">
        <v>60016</v>
      </c>
      <c r="D32" s="42"/>
      <c r="E32" s="43" t="s">
        <v>110</v>
      </c>
      <c r="F32" s="44">
        <f>SUM(F34:F34)</f>
        <v>280000</v>
      </c>
      <c r="G32" s="45">
        <f aca="true" t="shared" si="15" ref="G32:L32">SUM(G34:G34)</f>
        <v>0</v>
      </c>
      <c r="H32" s="45">
        <f t="shared" si="15"/>
        <v>0</v>
      </c>
      <c r="I32" s="45">
        <f t="shared" si="15"/>
        <v>0</v>
      </c>
      <c r="J32" s="45">
        <f t="shared" si="15"/>
        <v>467200</v>
      </c>
      <c r="K32" s="45">
        <f>SUM(K33:K34)</f>
        <v>517800</v>
      </c>
      <c r="L32" s="70">
        <f t="shared" si="15"/>
        <v>-20000</v>
      </c>
      <c r="M32" s="70">
        <f>SUM(M34:M34)</f>
        <v>-147000</v>
      </c>
      <c r="N32" s="45">
        <f>SUM(N34:N34)</f>
        <v>0</v>
      </c>
      <c r="O32" s="70">
        <f>SUM(O34:O34)</f>
        <v>-17000</v>
      </c>
      <c r="P32" s="45">
        <f>SUM(P34:P34)</f>
        <v>0</v>
      </c>
      <c r="Q32" s="46">
        <f>SUM(Q33:Q34)</f>
        <v>1081000</v>
      </c>
      <c r="R32" s="44">
        <f>SUM(R34:R34)</f>
        <v>0</v>
      </c>
      <c r="S32" s="44">
        <f aca="true" t="shared" si="16" ref="S32:AC32">SUM(S34:S34)</f>
        <v>0</v>
      </c>
      <c r="T32" s="44">
        <f t="shared" si="16"/>
        <v>0</v>
      </c>
      <c r="U32" s="44">
        <f t="shared" si="16"/>
        <v>0</v>
      </c>
      <c r="V32" s="44">
        <f t="shared" si="16"/>
        <v>17690</v>
      </c>
      <c r="W32" s="44">
        <f t="shared" si="16"/>
        <v>0</v>
      </c>
      <c r="X32" s="44">
        <f t="shared" si="16"/>
        <v>0</v>
      </c>
      <c r="Y32" s="44">
        <f t="shared" si="16"/>
        <v>6</v>
      </c>
      <c r="Z32" s="44">
        <f t="shared" si="16"/>
        <v>188011.98</v>
      </c>
      <c r="AA32" s="44">
        <f t="shared" si="16"/>
        <v>0</v>
      </c>
      <c r="AB32" s="44">
        <f>SUM(AB33:AB34)</f>
        <v>848852.85</v>
      </c>
      <c r="AC32" s="44">
        <f t="shared" si="16"/>
        <v>18910</v>
      </c>
      <c r="AD32" s="44">
        <f>SUM(AD33:AD34)</f>
        <v>1073470.83</v>
      </c>
      <c r="AE32" s="44">
        <f>SUM(AE33:AE34)</f>
        <v>7529.170000000042</v>
      </c>
      <c r="AF32" s="615">
        <f t="shared" si="1"/>
        <v>99.30349953746531</v>
      </c>
    </row>
    <row r="33" spans="2:32" s="34" customFormat="1" ht="12.75">
      <c r="B33" s="40"/>
      <c r="C33" s="42"/>
      <c r="D33" s="48">
        <v>4300</v>
      </c>
      <c r="E33" s="49" t="s">
        <v>1203</v>
      </c>
      <c r="F33" s="44"/>
      <c r="G33" s="45"/>
      <c r="H33" s="45"/>
      <c r="I33" s="45"/>
      <c r="J33" s="45"/>
      <c r="K33" s="51">
        <v>50000</v>
      </c>
      <c r="L33" s="45"/>
      <c r="M33" s="70"/>
      <c r="N33" s="70"/>
      <c r="O33" s="70"/>
      <c r="P33" s="45"/>
      <c r="Q33" s="52">
        <f>F33+G33+H33+I33+J33+K33+L33+M33+N33+O33+P33</f>
        <v>50000</v>
      </c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50">
        <v>49933</v>
      </c>
      <c r="AC33" s="44"/>
      <c r="AD33" s="53">
        <f>SUM(R33:AC33)</f>
        <v>49933</v>
      </c>
      <c r="AE33" s="50">
        <f>Q33-AD33</f>
        <v>67</v>
      </c>
      <c r="AF33" s="616">
        <f t="shared" si="1"/>
        <v>99.866</v>
      </c>
    </row>
    <row r="34" spans="2:32" s="34" customFormat="1" ht="12.75">
      <c r="B34" s="617"/>
      <c r="C34" s="47"/>
      <c r="D34" s="48">
        <v>6050</v>
      </c>
      <c r="E34" s="49" t="s">
        <v>1204</v>
      </c>
      <c r="F34" s="50">
        <f>240000+40000</f>
        <v>280000</v>
      </c>
      <c r="G34" s="51"/>
      <c r="H34" s="51"/>
      <c r="I34" s="51"/>
      <c r="J34" s="51">
        <f>57200+250000+160000</f>
        <v>467200</v>
      </c>
      <c r="K34" s="51">
        <v>467800</v>
      </c>
      <c r="L34" s="72">
        <v>-20000</v>
      </c>
      <c r="M34" s="72">
        <f>8000-175000+20000</f>
        <v>-147000</v>
      </c>
      <c r="N34" s="72"/>
      <c r="O34" s="72">
        <f>3000-20000</f>
        <v>-17000</v>
      </c>
      <c r="P34" s="51"/>
      <c r="Q34" s="52">
        <f>F34+G34+H34+I34+J34+K34+L34+M34+N34+O34+P34</f>
        <v>1031000</v>
      </c>
      <c r="R34" s="50"/>
      <c r="S34" s="50"/>
      <c r="T34" s="50"/>
      <c r="U34" s="50"/>
      <c r="V34" s="50">
        <v>17690</v>
      </c>
      <c r="W34" s="50"/>
      <c r="X34" s="50"/>
      <c r="Y34" s="50">
        <v>6</v>
      </c>
      <c r="Z34" s="50">
        <v>188011.98</v>
      </c>
      <c r="AA34" s="50"/>
      <c r="AB34" s="50">
        <v>798919.85</v>
      </c>
      <c r="AC34" s="50">
        <v>18910</v>
      </c>
      <c r="AD34" s="53">
        <f>SUM(R34:AC34)</f>
        <v>1023537.83</v>
      </c>
      <c r="AE34" s="50">
        <f>Q34-AD34</f>
        <v>7462.170000000042</v>
      </c>
      <c r="AF34" s="616">
        <f t="shared" si="1"/>
        <v>99.27622017458778</v>
      </c>
    </row>
    <row r="35" spans="2:32" s="34" customFormat="1" ht="12.75">
      <c r="B35" s="60">
        <v>700</v>
      </c>
      <c r="C35" s="61"/>
      <c r="D35" s="61"/>
      <c r="E35" s="62" t="s">
        <v>113</v>
      </c>
      <c r="F35" s="58">
        <f>F39+F36</f>
        <v>1154300</v>
      </c>
      <c r="G35" s="69">
        <f aca="true" t="shared" si="17" ref="G35:AC35">G39+G36</f>
        <v>-7735</v>
      </c>
      <c r="H35" s="69">
        <f t="shared" si="17"/>
        <v>-126500</v>
      </c>
      <c r="I35" s="59">
        <f t="shared" si="17"/>
        <v>0</v>
      </c>
      <c r="J35" s="59">
        <f t="shared" si="17"/>
        <v>11000</v>
      </c>
      <c r="K35" s="59">
        <f t="shared" si="17"/>
        <v>26470</v>
      </c>
      <c r="L35" s="59">
        <f t="shared" si="17"/>
        <v>244000</v>
      </c>
      <c r="M35" s="59">
        <f>M39+M36</f>
        <v>28000</v>
      </c>
      <c r="N35" s="59">
        <f>N39+N36</f>
        <v>196350</v>
      </c>
      <c r="O35" s="59">
        <f>O39+O36</f>
        <v>195208</v>
      </c>
      <c r="P35" s="59">
        <f>P39+P36</f>
        <v>6040</v>
      </c>
      <c r="Q35" s="58">
        <f t="shared" si="17"/>
        <v>1727133</v>
      </c>
      <c r="R35" s="58">
        <f t="shared" si="17"/>
        <v>33489.25</v>
      </c>
      <c r="S35" s="58">
        <f t="shared" si="17"/>
        <v>58938.44</v>
      </c>
      <c r="T35" s="58">
        <f t="shared" si="17"/>
        <v>197663.21</v>
      </c>
      <c r="U35" s="58">
        <f t="shared" si="17"/>
        <v>73321.70999999999</v>
      </c>
      <c r="V35" s="58">
        <f t="shared" si="17"/>
        <v>76045.94</v>
      </c>
      <c r="W35" s="58">
        <f>W39+W36</f>
        <v>59224.630000000005</v>
      </c>
      <c r="X35" s="58">
        <f t="shared" si="17"/>
        <v>118075.44</v>
      </c>
      <c r="Y35" s="58">
        <f t="shared" si="17"/>
        <v>197862.19</v>
      </c>
      <c r="Z35" s="58">
        <f t="shared" si="17"/>
        <v>54736.72</v>
      </c>
      <c r="AA35" s="58">
        <f t="shared" si="17"/>
        <v>136417.18</v>
      </c>
      <c r="AB35" s="58">
        <f>AB39+AB36</f>
        <v>173352.47</v>
      </c>
      <c r="AC35" s="58">
        <f t="shared" si="17"/>
        <v>328351.5</v>
      </c>
      <c r="AD35" s="58">
        <f>AD39+AD36</f>
        <v>1507478.6800000002</v>
      </c>
      <c r="AE35" s="58">
        <f>AE39+AE36</f>
        <v>219654.31999999998</v>
      </c>
      <c r="AF35" s="614">
        <f t="shared" si="1"/>
        <v>87.28214213960362</v>
      </c>
    </row>
    <row r="36" spans="2:32" s="34" customFormat="1" ht="25.5">
      <c r="B36" s="40"/>
      <c r="C36" s="42">
        <v>70004</v>
      </c>
      <c r="D36" s="42"/>
      <c r="E36" s="43" t="s">
        <v>393</v>
      </c>
      <c r="F36" s="44">
        <f>SUM(F37:F37)</f>
        <v>476200</v>
      </c>
      <c r="G36" s="70">
        <f>SUM(G37:G37)</f>
        <v>-140000</v>
      </c>
      <c r="H36" s="45">
        <f>SUM(H37:H37)</f>
        <v>0</v>
      </c>
      <c r="I36" s="45">
        <f>SUM(I37:I37)</f>
        <v>0</v>
      </c>
      <c r="J36" s="45">
        <f>SUM(J37:J37)</f>
        <v>0</v>
      </c>
      <c r="K36" s="45">
        <f aca="true" t="shared" si="18" ref="K36:Q36">SUM(K37:K38)</f>
        <v>16470</v>
      </c>
      <c r="L36" s="45">
        <f t="shared" si="18"/>
        <v>244000</v>
      </c>
      <c r="M36" s="45">
        <f t="shared" si="18"/>
        <v>0</v>
      </c>
      <c r="N36" s="45">
        <f t="shared" si="18"/>
        <v>0</v>
      </c>
      <c r="O36" s="45">
        <f t="shared" si="18"/>
        <v>0</v>
      </c>
      <c r="P36" s="45">
        <f>SUM(P37:P38)</f>
        <v>6040</v>
      </c>
      <c r="Q36" s="46">
        <f t="shared" si="18"/>
        <v>602710</v>
      </c>
      <c r="R36" s="44">
        <f>SUM(R37:R37)</f>
        <v>28000</v>
      </c>
      <c r="S36" s="44">
        <f aca="true" t="shared" si="19" ref="S36:AA36">SUM(S37:S37)</f>
        <v>28000</v>
      </c>
      <c r="T36" s="44">
        <f t="shared" si="19"/>
        <v>57000</v>
      </c>
      <c r="U36" s="44">
        <f t="shared" si="19"/>
        <v>46000</v>
      </c>
      <c r="V36" s="44">
        <f t="shared" si="19"/>
        <v>40000</v>
      </c>
      <c r="W36" s="44">
        <f t="shared" si="19"/>
        <v>0</v>
      </c>
      <c r="X36" s="44">
        <f t="shared" si="19"/>
        <v>0</v>
      </c>
      <c r="Y36" s="44">
        <f>SUM(Y37:Y38)</f>
        <v>117170</v>
      </c>
      <c r="Z36" s="44">
        <f t="shared" si="19"/>
        <v>36000</v>
      </c>
      <c r="AA36" s="44">
        <f t="shared" si="19"/>
        <v>0</v>
      </c>
      <c r="AB36" s="44">
        <f>SUM(AB37:AB38)</f>
        <v>170800</v>
      </c>
      <c r="AC36" s="44">
        <f>SUM(AC37:AC37)</f>
        <v>79740</v>
      </c>
      <c r="AD36" s="44">
        <f>SUM(AD37:AD38)</f>
        <v>602710</v>
      </c>
      <c r="AE36" s="44">
        <f>SUM(AE37:AE38)</f>
        <v>0</v>
      </c>
      <c r="AF36" s="615">
        <f t="shared" si="1"/>
        <v>100</v>
      </c>
    </row>
    <row r="37" spans="2:32" s="28" customFormat="1" ht="25.5">
      <c r="B37" s="619"/>
      <c r="C37" s="71"/>
      <c r="D37" s="48">
        <v>2650</v>
      </c>
      <c r="E37" s="49" t="s">
        <v>394</v>
      </c>
      <c r="F37" s="50">
        <f>336200+140000</f>
        <v>476200</v>
      </c>
      <c r="G37" s="72">
        <v>-140000</v>
      </c>
      <c r="H37" s="51"/>
      <c r="I37" s="51"/>
      <c r="J37" s="51"/>
      <c r="K37" s="51"/>
      <c r="L37" s="51"/>
      <c r="M37" s="51"/>
      <c r="N37" s="51"/>
      <c r="O37" s="51"/>
      <c r="P37" s="51">
        <v>6040</v>
      </c>
      <c r="Q37" s="52">
        <f>F37+G37+H37+I37+J37+K37+L37+M37+N37+O37+P37</f>
        <v>342240</v>
      </c>
      <c r="R37" s="50">
        <v>28000</v>
      </c>
      <c r="S37" s="50">
        <v>28000</v>
      </c>
      <c r="T37" s="50">
        <v>57000</v>
      </c>
      <c r="U37" s="50">
        <v>46000</v>
      </c>
      <c r="V37" s="50">
        <v>40000</v>
      </c>
      <c r="W37" s="50"/>
      <c r="X37" s="50"/>
      <c r="Y37" s="50">
        <v>27500</v>
      </c>
      <c r="Z37" s="50">
        <v>36000</v>
      </c>
      <c r="AA37" s="50"/>
      <c r="AB37" s="50"/>
      <c r="AC37" s="50">
        <v>79740</v>
      </c>
      <c r="AD37" s="53">
        <f>SUM(R37:AC37)</f>
        <v>342240</v>
      </c>
      <c r="AE37" s="50">
        <f>Q37-AD37</f>
        <v>0</v>
      </c>
      <c r="AF37" s="616">
        <f t="shared" si="1"/>
        <v>100</v>
      </c>
    </row>
    <row r="38" spans="2:32" s="28" customFormat="1" ht="51">
      <c r="B38" s="619"/>
      <c r="C38" s="71"/>
      <c r="D38" s="48">
        <v>6210</v>
      </c>
      <c r="E38" s="49" t="s">
        <v>395</v>
      </c>
      <c r="F38" s="50"/>
      <c r="G38" s="51"/>
      <c r="H38" s="51"/>
      <c r="I38" s="51"/>
      <c r="J38" s="51"/>
      <c r="K38" s="51">
        <v>16470</v>
      </c>
      <c r="L38" s="51">
        <v>244000</v>
      </c>
      <c r="M38" s="51"/>
      <c r="N38" s="51"/>
      <c r="O38" s="51"/>
      <c r="P38" s="51"/>
      <c r="Q38" s="52">
        <f>F38+G38+H38+I38+J38+K38+L38+M38+N38+O38+P38</f>
        <v>260470</v>
      </c>
      <c r="R38" s="50"/>
      <c r="S38" s="50"/>
      <c r="T38" s="50"/>
      <c r="U38" s="50"/>
      <c r="V38" s="50"/>
      <c r="W38" s="50"/>
      <c r="X38" s="50"/>
      <c r="Y38" s="50">
        <v>89670</v>
      </c>
      <c r="Z38" s="50"/>
      <c r="AA38" s="50"/>
      <c r="AB38" s="50">
        <v>170800</v>
      </c>
      <c r="AC38" s="50"/>
      <c r="AD38" s="53">
        <f>SUM(R38:AC38)</f>
        <v>260470</v>
      </c>
      <c r="AE38" s="50">
        <f>Q38-AD38</f>
        <v>0</v>
      </c>
      <c r="AF38" s="616">
        <f t="shared" si="1"/>
        <v>100</v>
      </c>
    </row>
    <row r="39" spans="2:32" s="73" customFormat="1" ht="12.75">
      <c r="B39" s="618"/>
      <c r="C39" s="42">
        <v>70005</v>
      </c>
      <c r="D39" s="42"/>
      <c r="E39" s="43" t="s">
        <v>114</v>
      </c>
      <c r="F39" s="44">
        <f>SUM(F40:F42)</f>
        <v>678100</v>
      </c>
      <c r="G39" s="45">
        <f aca="true" t="shared" si="20" ref="G39:AC39">SUM(G40:G42)</f>
        <v>132265</v>
      </c>
      <c r="H39" s="70">
        <f t="shared" si="20"/>
        <v>-126500</v>
      </c>
      <c r="I39" s="45">
        <f t="shared" si="20"/>
        <v>0</v>
      </c>
      <c r="J39" s="45">
        <f t="shared" si="20"/>
        <v>11000</v>
      </c>
      <c r="K39" s="45">
        <f t="shared" si="20"/>
        <v>10000</v>
      </c>
      <c r="L39" s="45">
        <f t="shared" si="20"/>
        <v>0</v>
      </c>
      <c r="M39" s="45">
        <f t="shared" si="20"/>
        <v>28000</v>
      </c>
      <c r="N39" s="45">
        <f t="shared" si="20"/>
        <v>196350</v>
      </c>
      <c r="O39" s="45">
        <f t="shared" si="20"/>
        <v>195208</v>
      </c>
      <c r="P39" s="45">
        <f t="shared" si="20"/>
        <v>0</v>
      </c>
      <c r="Q39" s="46">
        <f t="shared" si="20"/>
        <v>1124423</v>
      </c>
      <c r="R39" s="44">
        <f t="shared" si="20"/>
        <v>5489.25</v>
      </c>
      <c r="S39" s="44">
        <f t="shared" si="20"/>
        <v>30938.440000000002</v>
      </c>
      <c r="T39" s="44">
        <f t="shared" si="20"/>
        <v>140663.21</v>
      </c>
      <c r="U39" s="44">
        <f t="shared" si="20"/>
        <v>27321.71</v>
      </c>
      <c r="V39" s="44">
        <f t="shared" si="20"/>
        <v>36045.94</v>
      </c>
      <c r="W39" s="44">
        <f>SUM(W40:W42)</f>
        <v>59224.630000000005</v>
      </c>
      <c r="X39" s="44">
        <f>SUM(X40:X42)</f>
        <v>118075.44</v>
      </c>
      <c r="Y39" s="44">
        <f>SUM(Y40:Y42)</f>
        <v>80692.19</v>
      </c>
      <c r="Z39" s="44">
        <f t="shared" si="20"/>
        <v>18736.72</v>
      </c>
      <c r="AA39" s="44">
        <f t="shared" si="20"/>
        <v>136417.18</v>
      </c>
      <c r="AB39" s="44">
        <f t="shared" si="20"/>
        <v>2552.47</v>
      </c>
      <c r="AC39" s="44">
        <f t="shared" si="20"/>
        <v>248611.5</v>
      </c>
      <c r="AD39" s="44">
        <f>SUM(AD40:AD42)</f>
        <v>904768.68</v>
      </c>
      <c r="AE39" s="44">
        <f>SUM(AE40:AE42)</f>
        <v>219654.31999999998</v>
      </c>
      <c r="AF39" s="615">
        <f t="shared" si="1"/>
        <v>80.46515234924935</v>
      </c>
    </row>
    <row r="40" spans="2:32" s="73" customFormat="1" ht="12.75">
      <c r="B40" s="618"/>
      <c r="C40" s="74"/>
      <c r="D40" s="48">
        <v>4300</v>
      </c>
      <c r="E40" s="49" t="s">
        <v>1203</v>
      </c>
      <c r="F40" s="66">
        <f>15000+35000+8000+10000+6000+5000+1000+10000+32100+20000+86000</f>
        <v>228100</v>
      </c>
      <c r="G40" s="67"/>
      <c r="H40" s="67"/>
      <c r="I40" s="67"/>
      <c r="J40" s="67">
        <v>5000</v>
      </c>
      <c r="K40" s="67">
        <v>10000</v>
      </c>
      <c r="L40" s="67"/>
      <c r="M40" s="67"/>
      <c r="N40" s="67"/>
      <c r="O40" s="67"/>
      <c r="P40" s="67"/>
      <c r="Q40" s="52">
        <f>F40+G40+H40+I40+J40+K40+L40+M40+N40+O40+P40</f>
        <v>243100</v>
      </c>
      <c r="R40" s="66">
        <v>5489.25</v>
      </c>
      <c r="S40" s="66">
        <v>100.04</v>
      </c>
      <c r="T40" s="66">
        <v>8398.21</v>
      </c>
      <c r="U40" s="66">
        <f>8266.71+120</f>
        <v>8386.71</v>
      </c>
      <c r="V40" s="66">
        <v>1547.94</v>
      </c>
      <c r="W40" s="66">
        <v>23343.13</v>
      </c>
      <c r="X40" s="66">
        <v>9453.44</v>
      </c>
      <c r="Y40" s="66">
        <v>29237.69</v>
      </c>
      <c r="Z40" s="66">
        <v>12460.72</v>
      </c>
      <c r="AA40" s="66">
        <v>5779.18</v>
      </c>
      <c r="AB40" s="66">
        <v>2552.47</v>
      </c>
      <c r="AC40" s="66">
        <v>44553.5</v>
      </c>
      <c r="AD40" s="53">
        <f>SUM(R40:AC40)</f>
        <v>151302.28</v>
      </c>
      <c r="AE40" s="50">
        <f>Q40-AD40</f>
        <v>91797.72</v>
      </c>
      <c r="AF40" s="616">
        <f t="shared" si="1"/>
        <v>62.238700123406005</v>
      </c>
    </row>
    <row r="41" spans="2:32" s="73" customFormat="1" ht="12.75">
      <c r="B41" s="618"/>
      <c r="C41" s="74"/>
      <c r="D41" s="48">
        <v>6050</v>
      </c>
      <c r="E41" s="49" t="s">
        <v>1204</v>
      </c>
      <c r="F41" s="66">
        <v>180000</v>
      </c>
      <c r="G41" s="67"/>
      <c r="H41" s="68">
        <v>-126500</v>
      </c>
      <c r="I41" s="67"/>
      <c r="J41" s="67"/>
      <c r="K41" s="67"/>
      <c r="L41" s="67"/>
      <c r="M41" s="67"/>
      <c r="N41" s="67"/>
      <c r="O41" s="67"/>
      <c r="P41" s="67"/>
      <c r="Q41" s="52">
        <f>F41+G41+H41+I41+J41+K41+L41+M41+N41+O41+P41</f>
        <v>53500</v>
      </c>
      <c r="R41" s="66"/>
      <c r="S41" s="66">
        <v>12</v>
      </c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53">
        <f>SUM(R41:AC41)</f>
        <v>12</v>
      </c>
      <c r="AE41" s="50">
        <f>Q41-AD41</f>
        <v>53488</v>
      </c>
      <c r="AF41" s="616">
        <f t="shared" si="1"/>
        <v>0.022429906542056073</v>
      </c>
    </row>
    <row r="42" spans="2:32" s="73" customFormat="1" ht="25.5">
      <c r="B42" s="618"/>
      <c r="C42" s="74"/>
      <c r="D42" s="48">
        <v>6060</v>
      </c>
      <c r="E42" s="49" t="s">
        <v>396</v>
      </c>
      <c r="F42" s="66">
        <f>40000+230000</f>
        <v>270000</v>
      </c>
      <c r="G42" s="67">
        <v>132265</v>
      </c>
      <c r="H42" s="67"/>
      <c r="I42" s="67"/>
      <c r="J42" s="67">
        <v>6000</v>
      </c>
      <c r="K42" s="67"/>
      <c r="L42" s="67"/>
      <c r="M42" s="67">
        <v>28000</v>
      </c>
      <c r="N42" s="67">
        <f>116850+79500</f>
        <v>196350</v>
      </c>
      <c r="O42" s="67">
        <f>137150+58058</f>
        <v>195208</v>
      </c>
      <c r="P42" s="67"/>
      <c r="Q42" s="52">
        <f>F42+G42+H42+I42+J42+K42+L42+M42+N42+O42+P42</f>
        <v>827823</v>
      </c>
      <c r="R42" s="66"/>
      <c r="S42" s="66">
        <v>30826.4</v>
      </c>
      <c r="T42" s="66">
        <v>132265</v>
      </c>
      <c r="U42" s="66">
        <f>19055-120</f>
        <v>18935</v>
      </c>
      <c r="V42" s="66">
        <v>34498</v>
      </c>
      <c r="W42" s="66">
        <v>35881.5</v>
      </c>
      <c r="X42" s="66">
        <v>108622</v>
      </c>
      <c r="Y42" s="66">
        <v>51454.5</v>
      </c>
      <c r="Z42" s="66">
        <v>6276</v>
      </c>
      <c r="AA42" s="66">
        <v>130638</v>
      </c>
      <c r="AB42" s="66"/>
      <c r="AC42" s="66">
        <v>204058</v>
      </c>
      <c r="AD42" s="53">
        <f>SUM(R42:AC42)</f>
        <v>753454.4</v>
      </c>
      <c r="AE42" s="50">
        <f>Q42-AD42</f>
        <v>74368.59999999998</v>
      </c>
      <c r="AF42" s="616">
        <f t="shared" si="1"/>
        <v>91.01636460934282</v>
      </c>
    </row>
    <row r="43" spans="2:32" s="34" customFormat="1" ht="12.75">
      <c r="B43" s="60">
        <v>710</v>
      </c>
      <c r="C43" s="61"/>
      <c r="D43" s="61"/>
      <c r="E43" s="62" t="s">
        <v>397</v>
      </c>
      <c r="F43" s="58">
        <f>F44+F47</f>
        <v>210000</v>
      </c>
      <c r="G43" s="59">
        <f aca="true" t="shared" si="21" ref="G43:L43">G44+G47</f>
        <v>0</v>
      </c>
      <c r="H43" s="59">
        <f t="shared" si="21"/>
        <v>0</v>
      </c>
      <c r="I43" s="59">
        <f t="shared" si="21"/>
        <v>0</v>
      </c>
      <c r="J43" s="59">
        <f>J44+J47+J49</f>
        <v>20000</v>
      </c>
      <c r="K43" s="59">
        <f t="shared" si="21"/>
        <v>0</v>
      </c>
      <c r="L43" s="59">
        <f t="shared" si="21"/>
        <v>0</v>
      </c>
      <c r="M43" s="59">
        <f>M44+M47+M49</f>
        <v>0</v>
      </c>
      <c r="N43" s="59">
        <f>N44+N47+N49</f>
        <v>0</v>
      </c>
      <c r="O43" s="69">
        <f>O44+O47+O49</f>
        <v>-66180</v>
      </c>
      <c r="P43" s="59">
        <f>P44+P47+P49</f>
        <v>50</v>
      </c>
      <c r="Q43" s="58">
        <f>Q44+Q47+Q49</f>
        <v>163870</v>
      </c>
      <c r="R43" s="58">
        <f>R44+R47</f>
        <v>8922</v>
      </c>
      <c r="S43" s="58">
        <f>S44+S47</f>
        <v>228</v>
      </c>
      <c r="T43" s="58">
        <f>T44+T47</f>
        <v>0</v>
      </c>
      <c r="U43" s="58">
        <f>U44+U47</f>
        <v>0</v>
      </c>
      <c r="V43" s="58">
        <f>V44+V47</f>
        <v>0</v>
      </c>
      <c r="W43" s="58">
        <f aca="true" t="shared" si="22" ref="W43:AB43">W44+W47+W49</f>
        <v>4384</v>
      </c>
      <c r="X43" s="58">
        <f>X44+X47+X49</f>
        <v>3868</v>
      </c>
      <c r="Y43" s="58">
        <f t="shared" si="22"/>
        <v>2668</v>
      </c>
      <c r="Z43" s="58">
        <f t="shared" si="22"/>
        <v>6965</v>
      </c>
      <c r="AA43" s="58">
        <f>AA44+AA47+AA49</f>
        <v>2915</v>
      </c>
      <c r="AB43" s="58">
        <f t="shared" si="22"/>
        <v>3635.6</v>
      </c>
      <c r="AC43" s="58">
        <f>AC44+AC47+AC49</f>
        <v>24924</v>
      </c>
      <c r="AD43" s="58">
        <f>AD44+AD47+AD49</f>
        <v>58509.6</v>
      </c>
      <c r="AE43" s="58">
        <f>AE44+AE47+AE49</f>
        <v>105360.4</v>
      </c>
      <c r="AF43" s="614">
        <f>AD43*100/Q43</f>
        <v>35.70488802099225</v>
      </c>
    </row>
    <row r="44" spans="2:32" s="34" customFormat="1" ht="12.75">
      <c r="B44" s="40"/>
      <c r="C44" s="42">
        <v>71004</v>
      </c>
      <c r="D44" s="42"/>
      <c r="E44" s="43" t="s">
        <v>1168</v>
      </c>
      <c r="F44" s="44">
        <f>SUM(F45:F46)</f>
        <v>180000</v>
      </c>
      <c r="G44" s="45">
        <f aca="true" t="shared" si="23" ref="G44:AB44">SUM(G45:G46)</f>
        <v>0</v>
      </c>
      <c r="H44" s="45">
        <f t="shared" si="23"/>
        <v>0</v>
      </c>
      <c r="I44" s="45">
        <f t="shared" si="23"/>
        <v>0</v>
      </c>
      <c r="J44" s="45">
        <f t="shared" si="23"/>
        <v>0</v>
      </c>
      <c r="K44" s="70">
        <f t="shared" si="23"/>
        <v>-3500</v>
      </c>
      <c r="L44" s="45">
        <f t="shared" si="23"/>
        <v>0</v>
      </c>
      <c r="M44" s="45">
        <f t="shared" si="23"/>
        <v>0</v>
      </c>
      <c r="N44" s="45">
        <f t="shared" si="23"/>
        <v>0</v>
      </c>
      <c r="O44" s="70">
        <f t="shared" si="23"/>
        <v>-66180</v>
      </c>
      <c r="P44" s="45">
        <f t="shared" si="23"/>
        <v>0</v>
      </c>
      <c r="Q44" s="75">
        <f t="shared" si="23"/>
        <v>110320</v>
      </c>
      <c r="R44" s="44">
        <f t="shared" si="23"/>
        <v>972</v>
      </c>
      <c r="S44" s="44">
        <f t="shared" si="23"/>
        <v>228</v>
      </c>
      <c r="T44" s="44">
        <f t="shared" si="23"/>
        <v>0</v>
      </c>
      <c r="U44" s="44">
        <f t="shared" si="23"/>
        <v>0</v>
      </c>
      <c r="V44" s="44">
        <f t="shared" si="23"/>
        <v>0</v>
      </c>
      <c r="W44" s="44">
        <f t="shared" si="23"/>
        <v>1944</v>
      </c>
      <c r="X44" s="44">
        <f t="shared" si="23"/>
        <v>1428</v>
      </c>
      <c r="Y44" s="44">
        <f t="shared" si="23"/>
        <v>228</v>
      </c>
      <c r="Z44" s="44">
        <f t="shared" si="23"/>
        <v>0</v>
      </c>
      <c r="AA44" s="44">
        <f t="shared" si="23"/>
        <v>0</v>
      </c>
      <c r="AB44" s="44">
        <f t="shared" si="23"/>
        <v>597.8</v>
      </c>
      <c r="AC44" s="44">
        <f>SUM(AC45:AC46)</f>
        <v>1944</v>
      </c>
      <c r="AD44" s="44">
        <f>SUM(AD45:AD46)</f>
        <v>7341.8</v>
      </c>
      <c r="AE44" s="44">
        <f>SUM(AE45:AE46)</f>
        <v>102978.2</v>
      </c>
      <c r="AF44" s="615">
        <f t="shared" si="1"/>
        <v>6.655003625815809</v>
      </c>
    </row>
    <row r="45" spans="2:32" s="34" customFormat="1" ht="12.75">
      <c r="B45" s="40"/>
      <c r="C45" s="42"/>
      <c r="D45" s="48">
        <v>3030</v>
      </c>
      <c r="E45" s="49" t="s">
        <v>1169</v>
      </c>
      <c r="F45" s="50">
        <v>3600</v>
      </c>
      <c r="G45" s="51"/>
      <c r="H45" s="51"/>
      <c r="I45" s="51"/>
      <c r="J45" s="51"/>
      <c r="K45" s="51">
        <v>7000</v>
      </c>
      <c r="L45" s="51"/>
      <c r="M45" s="51"/>
      <c r="N45" s="51"/>
      <c r="O45" s="72"/>
      <c r="P45" s="72"/>
      <c r="Q45" s="52">
        <f>F45+G45+H45+I45+J45+K45+L45+M45+N45+O45+P45</f>
        <v>10600</v>
      </c>
      <c r="R45" s="50">
        <v>972</v>
      </c>
      <c r="S45" s="50">
        <v>228</v>
      </c>
      <c r="T45" s="50"/>
      <c r="U45" s="50"/>
      <c r="V45" s="50"/>
      <c r="W45" s="50">
        <v>1944</v>
      </c>
      <c r="X45" s="50">
        <v>1428</v>
      </c>
      <c r="Y45" s="50">
        <v>228</v>
      </c>
      <c r="Z45" s="50"/>
      <c r="AA45" s="50"/>
      <c r="AB45" s="50"/>
      <c r="AC45" s="50">
        <v>1944</v>
      </c>
      <c r="AD45" s="53">
        <f>SUM(R45:AC45)</f>
        <v>6744</v>
      </c>
      <c r="AE45" s="50">
        <f>Q45-AD45</f>
        <v>3856</v>
      </c>
      <c r="AF45" s="616">
        <f t="shared" si="1"/>
        <v>63.62264150943396</v>
      </c>
    </row>
    <row r="46" spans="2:32" s="34" customFormat="1" ht="14.25" customHeight="1">
      <c r="B46" s="40"/>
      <c r="C46" s="48"/>
      <c r="D46" s="48">
        <v>4300</v>
      </c>
      <c r="E46" s="49" t="s">
        <v>1203</v>
      </c>
      <c r="F46" s="50">
        <v>176400</v>
      </c>
      <c r="G46" s="51"/>
      <c r="H46" s="51"/>
      <c r="I46" s="51"/>
      <c r="J46" s="51"/>
      <c r="K46" s="72">
        <v>-10500</v>
      </c>
      <c r="L46" s="51"/>
      <c r="M46" s="51"/>
      <c r="N46" s="51"/>
      <c r="O46" s="72">
        <v>-66180</v>
      </c>
      <c r="P46" s="72"/>
      <c r="Q46" s="52">
        <f>F46+G46+H46+I46+J46+K46+L46+M46+N46+O46+P46</f>
        <v>99720</v>
      </c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>
        <v>597.8</v>
      </c>
      <c r="AC46" s="50"/>
      <c r="AD46" s="53">
        <f>SUM(R46:AC46)</f>
        <v>597.8</v>
      </c>
      <c r="AE46" s="50">
        <f>Q46-AD46</f>
        <v>99122.2</v>
      </c>
      <c r="AF46" s="616">
        <f t="shared" si="1"/>
        <v>0.5994785399117528</v>
      </c>
    </row>
    <row r="47" spans="2:32" s="34" customFormat="1" ht="12.75">
      <c r="B47" s="40"/>
      <c r="C47" s="42">
        <v>71014</v>
      </c>
      <c r="D47" s="42"/>
      <c r="E47" s="43" t="s">
        <v>523</v>
      </c>
      <c r="F47" s="44">
        <f aca="true" t="shared" si="24" ref="F47:AE47">SUM(F48:F48)</f>
        <v>30000</v>
      </c>
      <c r="G47" s="45">
        <f t="shared" si="24"/>
        <v>0</v>
      </c>
      <c r="H47" s="45">
        <f t="shared" si="24"/>
        <v>0</v>
      </c>
      <c r="I47" s="45">
        <f t="shared" si="24"/>
        <v>0</v>
      </c>
      <c r="J47" s="45">
        <f t="shared" si="24"/>
        <v>0</v>
      </c>
      <c r="K47" s="45">
        <f t="shared" si="24"/>
        <v>3500</v>
      </c>
      <c r="L47" s="45">
        <f t="shared" si="24"/>
        <v>0</v>
      </c>
      <c r="M47" s="45">
        <f t="shared" si="24"/>
        <v>0</v>
      </c>
      <c r="N47" s="45">
        <f t="shared" si="24"/>
        <v>0</v>
      </c>
      <c r="O47" s="45">
        <f t="shared" si="24"/>
        <v>0</v>
      </c>
      <c r="P47" s="45">
        <f t="shared" si="24"/>
        <v>50</v>
      </c>
      <c r="Q47" s="75">
        <f t="shared" si="24"/>
        <v>33550</v>
      </c>
      <c r="R47" s="44">
        <f t="shared" si="24"/>
        <v>7950</v>
      </c>
      <c r="S47" s="44">
        <f t="shared" si="24"/>
        <v>0</v>
      </c>
      <c r="T47" s="44">
        <f t="shared" si="24"/>
        <v>0</v>
      </c>
      <c r="U47" s="44">
        <f t="shared" si="24"/>
        <v>0</v>
      </c>
      <c r="V47" s="44">
        <f t="shared" si="24"/>
        <v>0</v>
      </c>
      <c r="W47" s="44">
        <f t="shared" si="24"/>
        <v>0</v>
      </c>
      <c r="X47" s="44">
        <f t="shared" si="24"/>
        <v>0</v>
      </c>
      <c r="Y47" s="44">
        <f t="shared" si="24"/>
        <v>0</v>
      </c>
      <c r="Z47" s="44">
        <f t="shared" si="24"/>
        <v>4525</v>
      </c>
      <c r="AA47" s="44">
        <f t="shared" si="24"/>
        <v>475</v>
      </c>
      <c r="AB47" s="44">
        <f t="shared" si="24"/>
        <v>597.8</v>
      </c>
      <c r="AC47" s="44">
        <f t="shared" si="24"/>
        <v>18100</v>
      </c>
      <c r="AD47" s="44">
        <f t="shared" si="24"/>
        <v>31647.8</v>
      </c>
      <c r="AE47" s="44">
        <f t="shared" si="24"/>
        <v>1902.2000000000007</v>
      </c>
      <c r="AF47" s="615">
        <f t="shared" si="1"/>
        <v>94.33025335320417</v>
      </c>
    </row>
    <row r="48" spans="2:32" s="34" customFormat="1" ht="12.75">
      <c r="B48" s="40"/>
      <c r="C48" s="48"/>
      <c r="D48" s="48">
        <v>4300</v>
      </c>
      <c r="E48" s="49" t="s">
        <v>1203</v>
      </c>
      <c r="F48" s="50">
        <v>30000</v>
      </c>
      <c r="G48" s="51"/>
      <c r="H48" s="51"/>
      <c r="I48" s="51"/>
      <c r="J48" s="51"/>
      <c r="K48" s="51">
        <v>3500</v>
      </c>
      <c r="L48" s="51"/>
      <c r="M48" s="51"/>
      <c r="N48" s="51"/>
      <c r="O48" s="51"/>
      <c r="P48" s="51">
        <v>50</v>
      </c>
      <c r="Q48" s="52">
        <f>F48+G48+H48+I48+J48+K48+L48+M48+N48+O48+P48</f>
        <v>33550</v>
      </c>
      <c r="R48" s="50">
        <v>7950</v>
      </c>
      <c r="S48" s="50"/>
      <c r="T48" s="50"/>
      <c r="U48" s="50"/>
      <c r="V48" s="50"/>
      <c r="W48" s="50"/>
      <c r="X48" s="50"/>
      <c r="Y48" s="50"/>
      <c r="Z48" s="50">
        <v>4525</v>
      </c>
      <c r="AA48" s="50">
        <v>475</v>
      </c>
      <c r="AB48" s="50">
        <v>597.8</v>
      </c>
      <c r="AC48" s="50">
        <v>18100</v>
      </c>
      <c r="AD48" s="53">
        <f>SUM(R48:AC48)</f>
        <v>31647.8</v>
      </c>
      <c r="AE48" s="50">
        <f>Q48-AD48</f>
        <v>1902.2000000000007</v>
      </c>
      <c r="AF48" s="616">
        <f t="shared" si="1"/>
        <v>94.33025335320417</v>
      </c>
    </row>
    <row r="49" spans="2:32" s="34" customFormat="1" ht="12.75">
      <c r="B49" s="40"/>
      <c r="C49" s="42">
        <v>71095</v>
      </c>
      <c r="D49" s="42"/>
      <c r="E49" s="43" t="s">
        <v>99</v>
      </c>
      <c r="F49" s="50"/>
      <c r="G49" s="51"/>
      <c r="H49" s="51"/>
      <c r="I49" s="51"/>
      <c r="J49" s="45">
        <f>J50</f>
        <v>20000</v>
      </c>
      <c r="K49" s="45">
        <f>K50</f>
        <v>0</v>
      </c>
      <c r="L49" s="45"/>
      <c r="M49" s="45">
        <f>M50</f>
        <v>0</v>
      </c>
      <c r="N49" s="45">
        <f>N50</f>
        <v>0</v>
      </c>
      <c r="O49" s="45">
        <f>O50</f>
        <v>0</v>
      </c>
      <c r="P49" s="45">
        <f>P50</f>
        <v>0</v>
      </c>
      <c r="Q49" s="46">
        <f>Q50</f>
        <v>20000</v>
      </c>
      <c r="R49" s="44"/>
      <c r="S49" s="44"/>
      <c r="T49" s="44"/>
      <c r="U49" s="44"/>
      <c r="V49" s="44"/>
      <c r="W49" s="44">
        <f aca="true" t="shared" si="25" ref="W49:AB49">W50</f>
        <v>2440</v>
      </c>
      <c r="X49" s="44">
        <f t="shared" si="25"/>
        <v>2440</v>
      </c>
      <c r="Y49" s="44">
        <f t="shared" si="25"/>
        <v>2440</v>
      </c>
      <c r="Z49" s="44">
        <f t="shared" si="25"/>
        <v>2440</v>
      </c>
      <c r="AA49" s="44">
        <f t="shared" si="25"/>
        <v>2440</v>
      </c>
      <c r="AB49" s="44">
        <f t="shared" si="25"/>
        <v>2440</v>
      </c>
      <c r="AC49" s="44">
        <f>AC50</f>
        <v>4880</v>
      </c>
      <c r="AD49" s="44">
        <f>AD50</f>
        <v>19520</v>
      </c>
      <c r="AE49" s="44">
        <f>AE50</f>
        <v>480</v>
      </c>
      <c r="AF49" s="615">
        <f t="shared" si="1"/>
        <v>97.6</v>
      </c>
    </row>
    <row r="50" spans="2:32" s="34" customFormat="1" ht="12.75">
      <c r="B50" s="40"/>
      <c r="C50" s="48"/>
      <c r="D50" s="48">
        <v>4300</v>
      </c>
      <c r="E50" s="49" t="s">
        <v>1203</v>
      </c>
      <c r="F50" s="50"/>
      <c r="G50" s="51"/>
      <c r="H50" s="51"/>
      <c r="I50" s="51"/>
      <c r="J50" s="51">
        <v>20000</v>
      </c>
      <c r="K50" s="51"/>
      <c r="L50" s="51"/>
      <c r="M50" s="51"/>
      <c r="N50" s="51"/>
      <c r="O50" s="51"/>
      <c r="P50" s="51"/>
      <c r="Q50" s="52">
        <f>F50+G50+H50+I50+J50+K50+L50+M50+N50+O50+P50</f>
        <v>20000</v>
      </c>
      <c r="R50" s="50"/>
      <c r="S50" s="50"/>
      <c r="T50" s="50"/>
      <c r="U50" s="50"/>
      <c r="V50" s="50"/>
      <c r="W50" s="50">
        <v>2440</v>
      </c>
      <c r="X50" s="50">
        <v>2440</v>
      </c>
      <c r="Y50" s="50">
        <v>2440</v>
      </c>
      <c r="Z50" s="50">
        <v>2440</v>
      </c>
      <c r="AA50" s="50">
        <v>2440</v>
      </c>
      <c r="AB50" s="50">
        <v>2440</v>
      </c>
      <c r="AC50" s="50">
        <v>4880</v>
      </c>
      <c r="AD50" s="53">
        <f>SUM(R50:AC50)</f>
        <v>19520</v>
      </c>
      <c r="AE50" s="50">
        <f>Q50-AD50</f>
        <v>480</v>
      </c>
      <c r="AF50" s="616">
        <f t="shared" si="1"/>
        <v>97.6</v>
      </c>
    </row>
    <row r="51" spans="2:32" s="34" customFormat="1" ht="12.75">
      <c r="B51" s="60">
        <v>750</v>
      </c>
      <c r="C51" s="61"/>
      <c r="D51" s="61"/>
      <c r="E51" s="62" t="s">
        <v>125</v>
      </c>
      <c r="F51" s="58">
        <f>F52+F55+F64+F87</f>
        <v>2261441</v>
      </c>
      <c r="G51" s="59">
        <f aca="true" t="shared" si="26" ref="G51:AC51">G52+G55+G64+G87</f>
        <v>40254</v>
      </c>
      <c r="H51" s="59">
        <f t="shared" si="26"/>
        <v>27787</v>
      </c>
      <c r="I51" s="59">
        <f t="shared" si="26"/>
        <v>0</v>
      </c>
      <c r="J51" s="59">
        <f t="shared" si="26"/>
        <v>136900</v>
      </c>
      <c r="K51" s="59">
        <f t="shared" si="26"/>
        <v>119646</v>
      </c>
      <c r="L51" s="59">
        <f t="shared" si="26"/>
        <v>0</v>
      </c>
      <c r="M51" s="59">
        <f t="shared" si="26"/>
        <v>260020</v>
      </c>
      <c r="N51" s="59">
        <f t="shared" si="26"/>
        <v>3800</v>
      </c>
      <c r="O51" s="59">
        <f t="shared" si="26"/>
        <v>23350</v>
      </c>
      <c r="P51" s="59">
        <f t="shared" si="26"/>
        <v>0</v>
      </c>
      <c r="Q51" s="58">
        <f t="shared" si="26"/>
        <v>2873198</v>
      </c>
      <c r="R51" s="58">
        <f t="shared" si="26"/>
        <v>181040.24999999994</v>
      </c>
      <c r="S51" s="58">
        <f t="shared" si="26"/>
        <v>205411.26000000004</v>
      </c>
      <c r="T51" s="58">
        <f t="shared" si="26"/>
        <v>216080.22000000003</v>
      </c>
      <c r="U51" s="58">
        <f t="shared" si="26"/>
        <v>175483.05</v>
      </c>
      <c r="V51" s="58">
        <f t="shared" si="26"/>
        <v>174239.23999999996</v>
      </c>
      <c r="W51" s="58">
        <f>W52+W55+W64+W87</f>
        <v>224504.71</v>
      </c>
      <c r="X51" s="58">
        <f>X52+X55+X64+X87</f>
        <v>159206.15000000002</v>
      </c>
      <c r="Y51" s="58">
        <f t="shared" si="26"/>
        <v>179964.03000000003</v>
      </c>
      <c r="Z51" s="58">
        <f t="shared" si="26"/>
        <v>185344.84999999998</v>
      </c>
      <c r="AA51" s="58">
        <f>AA52+AA55+AA64+AA87</f>
        <v>168743.01999999996</v>
      </c>
      <c r="AB51" s="58">
        <f t="shared" si="26"/>
        <v>198685.71999999997</v>
      </c>
      <c r="AC51" s="58">
        <f t="shared" si="26"/>
        <v>451100.1700000001</v>
      </c>
      <c r="AD51" s="58">
        <f>AD52+AD55+AD64+AD87</f>
        <v>2519802.6699999995</v>
      </c>
      <c r="AE51" s="58">
        <f>AE52+AE55+AE64+AE87</f>
        <v>353395.3300000001</v>
      </c>
      <c r="AF51" s="614">
        <f t="shared" si="1"/>
        <v>87.70027927069417</v>
      </c>
    </row>
    <row r="52" spans="2:32" s="34" customFormat="1" ht="12.75">
      <c r="B52" s="40"/>
      <c r="C52" s="42">
        <v>75011</v>
      </c>
      <c r="D52" s="42"/>
      <c r="E52" s="43" t="s">
        <v>126</v>
      </c>
      <c r="F52" s="44">
        <f>SUM(F53:F54)</f>
        <v>53800</v>
      </c>
      <c r="G52" s="45">
        <f aca="true" t="shared" si="27" ref="G52:AB52">SUM(G53:G54)</f>
        <v>0</v>
      </c>
      <c r="H52" s="45">
        <f t="shared" si="27"/>
        <v>0</v>
      </c>
      <c r="I52" s="45">
        <f t="shared" si="27"/>
        <v>0</v>
      </c>
      <c r="J52" s="45">
        <f t="shared" si="27"/>
        <v>0</v>
      </c>
      <c r="K52" s="45">
        <f t="shared" si="27"/>
        <v>0</v>
      </c>
      <c r="L52" s="45">
        <f t="shared" si="27"/>
        <v>0</v>
      </c>
      <c r="M52" s="45">
        <f t="shared" si="27"/>
        <v>0</v>
      </c>
      <c r="N52" s="45">
        <f t="shared" si="27"/>
        <v>2300</v>
      </c>
      <c r="O52" s="45">
        <f t="shared" si="27"/>
        <v>0</v>
      </c>
      <c r="P52" s="45">
        <f t="shared" si="27"/>
        <v>0</v>
      </c>
      <c r="Q52" s="46">
        <f t="shared" si="27"/>
        <v>56100</v>
      </c>
      <c r="R52" s="44">
        <f t="shared" si="27"/>
        <v>0</v>
      </c>
      <c r="S52" s="44">
        <f t="shared" si="27"/>
        <v>0</v>
      </c>
      <c r="T52" s="44">
        <f t="shared" si="27"/>
        <v>14568</v>
      </c>
      <c r="U52" s="44">
        <f t="shared" si="27"/>
        <v>0</v>
      </c>
      <c r="V52" s="44">
        <f t="shared" si="27"/>
        <v>0</v>
      </c>
      <c r="W52" s="44">
        <f t="shared" si="27"/>
        <v>14644</v>
      </c>
      <c r="X52" s="44">
        <f t="shared" si="27"/>
        <v>0</v>
      </c>
      <c r="Y52" s="44">
        <f t="shared" si="27"/>
        <v>0</v>
      </c>
      <c r="Z52" s="44">
        <f t="shared" si="27"/>
        <v>12908</v>
      </c>
      <c r="AA52" s="44">
        <f t="shared" si="27"/>
        <v>0</v>
      </c>
      <c r="AB52" s="44">
        <f t="shared" si="27"/>
        <v>0</v>
      </c>
      <c r="AC52" s="44">
        <f>SUM(AC53:AC54)</f>
        <v>13980</v>
      </c>
      <c r="AD52" s="44">
        <f>SUM(AD53:AD54)</f>
        <v>56100</v>
      </c>
      <c r="AE52" s="44">
        <f>SUM(AE53:AE54)</f>
        <v>0</v>
      </c>
      <c r="AF52" s="615">
        <f t="shared" si="1"/>
        <v>100</v>
      </c>
    </row>
    <row r="53" spans="2:32" s="34" customFormat="1" ht="12.75">
      <c r="B53" s="40"/>
      <c r="C53" s="48"/>
      <c r="D53" s="48">
        <v>4010</v>
      </c>
      <c r="E53" s="49" t="s">
        <v>524</v>
      </c>
      <c r="F53" s="50">
        <v>45893</v>
      </c>
      <c r="G53" s="51"/>
      <c r="H53" s="51"/>
      <c r="I53" s="51"/>
      <c r="J53" s="51"/>
      <c r="K53" s="51"/>
      <c r="L53" s="51"/>
      <c r="M53" s="51"/>
      <c r="N53" s="122">
        <v>1962</v>
      </c>
      <c r="O53" s="122"/>
      <c r="P53" s="122"/>
      <c r="Q53" s="52">
        <f>F53+G53+H53+I53+J53+K53+L53+M53+N53+O53+P53</f>
        <v>47855</v>
      </c>
      <c r="R53" s="50"/>
      <c r="S53" s="50"/>
      <c r="T53" s="50">
        <v>12441</v>
      </c>
      <c r="U53" s="50"/>
      <c r="V53" s="50"/>
      <c r="W53" s="50">
        <v>12506</v>
      </c>
      <c r="X53" s="50"/>
      <c r="Y53" s="50"/>
      <c r="Z53" s="50">
        <v>11023</v>
      </c>
      <c r="AA53" s="50"/>
      <c r="AB53" s="50"/>
      <c r="AC53" s="50">
        <v>11885</v>
      </c>
      <c r="AD53" s="53">
        <f>SUM(R53:AC53)</f>
        <v>47855</v>
      </c>
      <c r="AE53" s="50">
        <f>Q53-AD53</f>
        <v>0</v>
      </c>
      <c r="AF53" s="616">
        <f t="shared" si="1"/>
        <v>100</v>
      </c>
    </row>
    <row r="54" spans="2:32" s="34" customFormat="1" ht="12.75">
      <c r="B54" s="40"/>
      <c r="C54" s="48"/>
      <c r="D54" s="48">
        <v>4110</v>
      </c>
      <c r="E54" s="49" t="s">
        <v>525</v>
      </c>
      <c r="F54" s="50">
        <v>7907</v>
      </c>
      <c r="G54" s="51"/>
      <c r="H54" s="51"/>
      <c r="I54" s="51"/>
      <c r="J54" s="51"/>
      <c r="K54" s="51"/>
      <c r="L54" s="51"/>
      <c r="M54" s="51"/>
      <c r="N54" s="122">
        <v>338</v>
      </c>
      <c r="O54" s="122"/>
      <c r="P54" s="122"/>
      <c r="Q54" s="52">
        <f>F54+G54+H54+I54+J54+K54+L54+M54+N54+O54+P54</f>
        <v>8245</v>
      </c>
      <c r="R54" s="50"/>
      <c r="S54" s="50"/>
      <c r="T54" s="50">
        <v>2127</v>
      </c>
      <c r="U54" s="50"/>
      <c r="V54" s="50"/>
      <c r="W54" s="50">
        <v>2138</v>
      </c>
      <c r="X54" s="50"/>
      <c r="Y54" s="50"/>
      <c r="Z54" s="50">
        <v>1885</v>
      </c>
      <c r="AA54" s="50"/>
      <c r="AB54" s="50"/>
      <c r="AC54" s="50">
        <v>2095</v>
      </c>
      <c r="AD54" s="53">
        <f>SUM(R54:AC54)</f>
        <v>8245</v>
      </c>
      <c r="AE54" s="50">
        <f>Q54-AD54</f>
        <v>0</v>
      </c>
      <c r="AF54" s="616">
        <f t="shared" si="1"/>
        <v>100</v>
      </c>
    </row>
    <row r="55" spans="2:32" s="34" customFormat="1" ht="12.75">
      <c r="B55" s="40"/>
      <c r="C55" s="42">
        <v>75022</v>
      </c>
      <c r="D55" s="42"/>
      <c r="E55" s="43" t="s">
        <v>526</v>
      </c>
      <c r="F55" s="44">
        <f>SUM(F57:F62)</f>
        <v>202590</v>
      </c>
      <c r="G55" s="45">
        <f aca="true" t="shared" si="28" ref="G55:L55">SUM(G57:G62)</f>
        <v>0</v>
      </c>
      <c r="H55" s="45">
        <f t="shared" si="28"/>
        <v>0</v>
      </c>
      <c r="I55" s="45">
        <f t="shared" si="28"/>
        <v>0</v>
      </c>
      <c r="J55" s="45">
        <f>SUM(J56:L62)</f>
        <v>1000</v>
      </c>
      <c r="K55" s="45">
        <f t="shared" si="28"/>
        <v>0</v>
      </c>
      <c r="L55" s="45">
        <f t="shared" si="28"/>
        <v>0</v>
      </c>
      <c r="M55" s="45">
        <f>SUM(M56:M63)</f>
        <v>62100</v>
      </c>
      <c r="N55" s="45">
        <f>SUM(N56:N63)</f>
        <v>0</v>
      </c>
      <c r="O55" s="45">
        <f>SUM(O56:O63)</f>
        <v>0</v>
      </c>
      <c r="P55" s="45">
        <f>SUM(P56:P63)</f>
        <v>0</v>
      </c>
      <c r="Q55" s="46">
        <f>SUM(Q56:Q63)</f>
        <v>265690</v>
      </c>
      <c r="R55" s="44">
        <f>SUM(R57:R62)</f>
        <v>3013.7400000000002</v>
      </c>
      <c r="S55" s="44">
        <f aca="true" t="shared" si="29" ref="S55:AB55">SUM(S57:S62)</f>
        <v>13756.29</v>
      </c>
      <c r="T55" s="44">
        <f t="shared" si="29"/>
        <v>13610.56</v>
      </c>
      <c r="U55" s="44">
        <f t="shared" si="29"/>
        <v>13981.4</v>
      </c>
      <c r="V55" s="44">
        <f t="shared" si="29"/>
        <v>14550.86</v>
      </c>
      <c r="W55" s="44">
        <f>SUM(W56:W62)</f>
        <v>18780.809999999998</v>
      </c>
      <c r="X55" s="44">
        <f>SUM(X56:X62)</f>
        <v>11721.46</v>
      </c>
      <c r="Y55" s="44">
        <f>SUM(Y56:Y62)</f>
        <v>25214.319999999996</v>
      </c>
      <c r="Z55" s="44">
        <f>SUM(Z56:Z63)</f>
        <v>39028.229999999996</v>
      </c>
      <c r="AA55" s="44">
        <f>SUM(AA56:AA63)</f>
        <v>18744.049999999996</v>
      </c>
      <c r="AB55" s="44">
        <f t="shared" si="29"/>
        <v>13838.3</v>
      </c>
      <c r="AC55" s="44">
        <f>SUM(AC57:AC62)</f>
        <v>28229.210000000003</v>
      </c>
      <c r="AD55" s="44">
        <f>SUM(AD56:AD63)</f>
        <v>214469.22999999998</v>
      </c>
      <c r="AE55" s="44">
        <f>SUM(AE56:AE63)</f>
        <v>51220.77</v>
      </c>
      <c r="AF55" s="615">
        <f t="shared" si="1"/>
        <v>80.72160412510821</v>
      </c>
    </row>
    <row r="56" spans="2:32" s="34" customFormat="1" ht="38.25">
      <c r="B56" s="40"/>
      <c r="C56" s="42"/>
      <c r="D56" s="48">
        <v>2710</v>
      </c>
      <c r="E56" s="49" t="s">
        <v>1211</v>
      </c>
      <c r="F56" s="44"/>
      <c r="G56" s="45"/>
      <c r="H56" s="45"/>
      <c r="I56" s="45"/>
      <c r="J56" s="51">
        <v>1000</v>
      </c>
      <c r="K56" s="45"/>
      <c r="L56" s="45"/>
      <c r="M56" s="45"/>
      <c r="N56" s="45"/>
      <c r="O56" s="45"/>
      <c r="P56" s="45"/>
      <c r="Q56" s="52">
        <f aca="true" t="shared" si="30" ref="Q56:Q63">F56+G56+H56+I56+J56+K56+L56+M56+N56+O56+P56</f>
        <v>1000</v>
      </c>
      <c r="R56" s="44"/>
      <c r="S56" s="44"/>
      <c r="T56" s="44"/>
      <c r="U56" s="44"/>
      <c r="V56" s="44"/>
      <c r="W56" s="44"/>
      <c r="X56" s="50"/>
      <c r="Y56" s="50">
        <v>1000</v>
      </c>
      <c r="Z56" s="44"/>
      <c r="AA56" s="44"/>
      <c r="AB56" s="44"/>
      <c r="AC56" s="44"/>
      <c r="AD56" s="53">
        <f>SUM(R56:AC56)</f>
        <v>1000</v>
      </c>
      <c r="AE56" s="50">
        <f>Q56-AD56</f>
        <v>0</v>
      </c>
      <c r="AF56" s="616">
        <f>AD56*100/Q56</f>
        <v>100</v>
      </c>
    </row>
    <row r="57" spans="2:32" s="34" customFormat="1" ht="12.75">
      <c r="B57" s="40"/>
      <c r="C57" s="48"/>
      <c r="D57" s="48">
        <v>3030</v>
      </c>
      <c r="E57" s="49" t="s">
        <v>1169</v>
      </c>
      <c r="F57" s="50">
        <v>136200</v>
      </c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2">
        <f t="shared" si="30"/>
        <v>136200</v>
      </c>
      <c r="R57" s="50"/>
      <c r="S57" s="50">
        <v>9614.69</v>
      </c>
      <c r="T57" s="50">
        <v>9625</v>
      </c>
      <c r="U57" s="50">
        <v>12131.86</v>
      </c>
      <c r="V57" s="50">
        <v>10760.97</v>
      </c>
      <c r="W57" s="50">
        <v>10750</v>
      </c>
      <c r="X57" s="50">
        <v>10575</v>
      </c>
      <c r="Y57" s="50">
        <v>10750</v>
      </c>
      <c r="Z57" s="50">
        <v>10450</v>
      </c>
      <c r="AA57" s="50">
        <v>10455</v>
      </c>
      <c r="AB57" s="50">
        <v>10455</v>
      </c>
      <c r="AC57" s="50">
        <v>21130</v>
      </c>
      <c r="AD57" s="53">
        <f aca="true" t="shared" si="31" ref="AD57:AD63">SUM(R57:AC57)</f>
        <v>126697.52</v>
      </c>
      <c r="AE57" s="50">
        <f aca="true" t="shared" si="32" ref="AE57:AE62">Q57-AD57</f>
        <v>9502.479999999996</v>
      </c>
      <c r="AF57" s="616">
        <f t="shared" si="1"/>
        <v>93.02314243759177</v>
      </c>
    </row>
    <row r="58" spans="2:32" s="34" customFormat="1" ht="12.75">
      <c r="B58" s="40"/>
      <c r="C58" s="48"/>
      <c r="D58" s="48">
        <v>4210</v>
      </c>
      <c r="E58" s="49" t="s">
        <v>1201</v>
      </c>
      <c r="F58" s="50">
        <f>39890-20000</f>
        <v>19890</v>
      </c>
      <c r="G58" s="51"/>
      <c r="H58" s="51"/>
      <c r="I58" s="51"/>
      <c r="J58" s="51"/>
      <c r="K58" s="51"/>
      <c r="L58" s="51"/>
      <c r="M58" s="51">
        <v>30000</v>
      </c>
      <c r="N58" s="51"/>
      <c r="O58" s="51"/>
      <c r="P58" s="51"/>
      <c r="Q58" s="52">
        <f t="shared" si="30"/>
        <v>49890</v>
      </c>
      <c r="R58" s="50">
        <v>2211.13</v>
      </c>
      <c r="S58" s="50">
        <v>178</v>
      </c>
      <c r="T58" s="50">
        <v>667.01</v>
      </c>
      <c r="U58" s="50">
        <v>1002.67</v>
      </c>
      <c r="V58" s="50">
        <v>689.4</v>
      </c>
      <c r="W58" s="50">
        <v>2620.8</v>
      </c>
      <c r="X58" s="50">
        <v>225.55</v>
      </c>
      <c r="Y58" s="50">
        <v>10314.8</v>
      </c>
      <c r="Z58" s="50">
        <v>21605.82</v>
      </c>
      <c r="AA58" s="50">
        <v>2870.22</v>
      </c>
      <c r="AB58" s="50">
        <v>585.09</v>
      </c>
      <c r="AC58" s="50">
        <f>665+1129.72</f>
        <v>1794.72</v>
      </c>
      <c r="AD58" s="53">
        <f t="shared" si="31"/>
        <v>44765.21</v>
      </c>
      <c r="AE58" s="50">
        <f t="shared" si="32"/>
        <v>5124.790000000001</v>
      </c>
      <c r="AF58" s="616">
        <f t="shared" si="1"/>
        <v>89.72782120665464</v>
      </c>
    </row>
    <row r="59" spans="2:32" s="34" customFormat="1" ht="12.75">
      <c r="B59" s="40"/>
      <c r="C59" s="48"/>
      <c r="D59" s="48">
        <v>4260</v>
      </c>
      <c r="E59" s="49" t="s">
        <v>527</v>
      </c>
      <c r="F59" s="50">
        <v>5000</v>
      </c>
      <c r="G59" s="51"/>
      <c r="H59" s="51"/>
      <c r="I59" s="51"/>
      <c r="J59" s="51"/>
      <c r="K59" s="51"/>
      <c r="L59" s="51"/>
      <c r="M59" s="51">
        <v>2000</v>
      </c>
      <c r="N59" s="51"/>
      <c r="O59" s="51"/>
      <c r="P59" s="51"/>
      <c r="Q59" s="52">
        <f t="shared" si="30"/>
        <v>7000</v>
      </c>
      <c r="R59" s="50">
        <v>518.01</v>
      </c>
      <c r="S59" s="50">
        <v>1515.6</v>
      </c>
      <c r="T59" s="50">
        <v>572.56</v>
      </c>
      <c r="U59" s="50">
        <v>692.56</v>
      </c>
      <c r="V59" s="50">
        <v>397.11</v>
      </c>
      <c r="W59" s="50">
        <v>379.11</v>
      </c>
      <c r="X59" s="50">
        <v>204.41</v>
      </c>
      <c r="Y59" s="50">
        <v>447.76</v>
      </c>
      <c r="Z59" s="50">
        <v>204.41</v>
      </c>
      <c r="AA59" s="50">
        <v>659.57</v>
      </c>
      <c r="AB59" s="50">
        <v>335.71</v>
      </c>
      <c r="AC59" s="50">
        <v>789.49</v>
      </c>
      <c r="AD59" s="53">
        <f t="shared" si="31"/>
        <v>6716.3</v>
      </c>
      <c r="AE59" s="50">
        <f t="shared" si="32"/>
        <v>283.6999999999998</v>
      </c>
      <c r="AF59" s="616">
        <f>AD59*100/Q59</f>
        <v>95.94714285714285</v>
      </c>
    </row>
    <row r="60" spans="2:32" s="34" customFormat="1" ht="12.75">
      <c r="B60" s="40"/>
      <c r="C60" s="48"/>
      <c r="D60" s="48">
        <v>4300</v>
      </c>
      <c r="E60" s="49" t="s">
        <v>1203</v>
      </c>
      <c r="F60" s="50">
        <v>37500</v>
      </c>
      <c r="G60" s="51"/>
      <c r="H60" s="51"/>
      <c r="I60" s="51"/>
      <c r="J60" s="51"/>
      <c r="K60" s="51"/>
      <c r="L60" s="51"/>
      <c r="M60" s="51">
        <v>30000</v>
      </c>
      <c r="N60" s="51"/>
      <c r="O60" s="51"/>
      <c r="P60" s="51"/>
      <c r="Q60" s="52">
        <f t="shared" si="30"/>
        <v>67500</v>
      </c>
      <c r="R60" s="50">
        <v>270</v>
      </c>
      <c r="S60" s="50">
        <v>2448</v>
      </c>
      <c r="T60" s="50">
        <v>2745.99</v>
      </c>
      <c r="U60" s="50">
        <v>16.5</v>
      </c>
      <c r="V60" s="50">
        <f>2667+36.38</f>
        <v>2703.38</v>
      </c>
      <c r="W60" s="50">
        <v>5004.8</v>
      </c>
      <c r="X60" s="50">
        <v>716.5</v>
      </c>
      <c r="Y60" s="50">
        <v>2667.5</v>
      </c>
      <c r="Z60" s="50">
        <v>6672</v>
      </c>
      <c r="AA60" s="50">
        <v>4733.16</v>
      </c>
      <c r="AB60" s="50">
        <v>2462.5</v>
      </c>
      <c r="AC60" s="50">
        <v>4515</v>
      </c>
      <c r="AD60" s="53">
        <f t="shared" si="31"/>
        <v>34955.33</v>
      </c>
      <c r="AE60" s="50">
        <f t="shared" si="32"/>
        <v>32544.67</v>
      </c>
      <c r="AF60" s="616">
        <f t="shared" si="1"/>
        <v>51.78567407407407</v>
      </c>
    </row>
    <row r="61" spans="2:32" s="34" customFormat="1" ht="12.75">
      <c r="B61" s="40"/>
      <c r="C61" s="48"/>
      <c r="D61" s="48">
        <v>4410</v>
      </c>
      <c r="E61" s="49" t="s">
        <v>528</v>
      </c>
      <c r="F61" s="50">
        <v>3000</v>
      </c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2">
        <f t="shared" si="30"/>
        <v>3000</v>
      </c>
      <c r="R61" s="50">
        <v>14.6</v>
      </c>
      <c r="S61" s="50"/>
      <c r="T61" s="50"/>
      <c r="U61" s="50">
        <v>137.81</v>
      </c>
      <c r="V61" s="50"/>
      <c r="W61" s="50">
        <v>26.1</v>
      </c>
      <c r="X61" s="50"/>
      <c r="Y61" s="50">
        <v>34.26</v>
      </c>
      <c r="Z61" s="50"/>
      <c r="AA61" s="50">
        <v>26.1</v>
      </c>
      <c r="AB61" s="50"/>
      <c r="AC61" s="50"/>
      <c r="AD61" s="53">
        <f t="shared" si="31"/>
        <v>238.86999999999998</v>
      </c>
      <c r="AE61" s="50">
        <f t="shared" si="32"/>
        <v>2761.13</v>
      </c>
      <c r="AF61" s="616">
        <f t="shared" si="1"/>
        <v>7.962333333333332</v>
      </c>
    </row>
    <row r="62" spans="2:32" s="34" customFormat="1" ht="12.75">
      <c r="B62" s="40"/>
      <c r="C62" s="48"/>
      <c r="D62" s="48">
        <v>4420</v>
      </c>
      <c r="E62" s="49" t="s">
        <v>529</v>
      </c>
      <c r="F62" s="50">
        <v>1000</v>
      </c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2">
        <f t="shared" si="30"/>
        <v>1000</v>
      </c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3">
        <f t="shared" si="31"/>
        <v>0</v>
      </c>
      <c r="AE62" s="50">
        <f t="shared" si="32"/>
        <v>1000</v>
      </c>
      <c r="AF62" s="616">
        <f t="shared" si="1"/>
        <v>0</v>
      </c>
    </row>
    <row r="63" spans="2:32" s="34" customFormat="1" ht="12.75">
      <c r="B63" s="40"/>
      <c r="C63" s="48"/>
      <c r="D63" s="48">
        <v>4430</v>
      </c>
      <c r="E63" s="49" t="s">
        <v>1210</v>
      </c>
      <c r="F63" s="50"/>
      <c r="G63" s="51"/>
      <c r="H63" s="51"/>
      <c r="I63" s="51"/>
      <c r="J63" s="51"/>
      <c r="K63" s="51"/>
      <c r="L63" s="51"/>
      <c r="M63" s="51">
        <v>100</v>
      </c>
      <c r="N63" s="51"/>
      <c r="O63" s="51"/>
      <c r="P63" s="51"/>
      <c r="Q63" s="52">
        <f t="shared" si="30"/>
        <v>100</v>
      </c>
      <c r="R63" s="50"/>
      <c r="S63" s="50"/>
      <c r="T63" s="50"/>
      <c r="U63" s="50"/>
      <c r="V63" s="50"/>
      <c r="W63" s="50"/>
      <c r="X63" s="50"/>
      <c r="Y63" s="50"/>
      <c r="Z63" s="50">
        <v>96</v>
      </c>
      <c r="AA63" s="50"/>
      <c r="AB63" s="50"/>
      <c r="AC63" s="50"/>
      <c r="AD63" s="53">
        <f t="shared" si="31"/>
        <v>96</v>
      </c>
      <c r="AE63" s="50">
        <f>Q63-AD63</f>
        <v>4</v>
      </c>
      <c r="AF63" s="616">
        <f>AD63*100/Q63</f>
        <v>96</v>
      </c>
    </row>
    <row r="64" spans="2:32" s="34" customFormat="1" ht="12.75">
      <c r="B64" s="40"/>
      <c r="C64" s="42">
        <v>75023</v>
      </c>
      <c r="D64" s="42"/>
      <c r="E64" s="43" t="s">
        <v>958</v>
      </c>
      <c r="F64" s="44">
        <f>SUM(F65:F86)</f>
        <v>1917051</v>
      </c>
      <c r="G64" s="45">
        <f aca="true" t="shared" si="33" ref="G64:Z64">SUM(G65:G86)</f>
        <v>3100</v>
      </c>
      <c r="H64" s="45">
        <f t="shared" si="33"/>
        <v>33627</v>
      </c>
      <c r="I64" s="45">
        <f t="shared" si="33"/>
        <v>0</v>
      </c>
      <c r="J64" s="45">
        <f t="shared" si="33"/>
        <v>54900</v>
      </c>
      <c r="K64" s="45">
        <f t="shared" si="33"/>
        <v>51100</v>
      </c>
      <c r="L64" s="45">
        <f t="shared" si="33"/>
        <v>0</v>
      </c>
      <c r="M64" s="45">
        <f t="shared" si="33"/>
        <v>175400</v>
      </c>
      <c r="N64" s="45">
        <f t="shared" si="33"/>
        <v>1500</v>
      </c>
      <c r="O64" s="45">
        <f t="shared" si="33"/>
        <v>0</v>
      </c>
      <c r="P64" s="45">
        <f t="shared" si="33"/>
        <v>0</v>
      </c>
      <c r="Q64" s="46">
        <f t="shared" si="33"/>
        <v>2236678</v>
      </c>
      <c r="R64" s="44">
        <f t="shared" si="33"/>
        <v>177093.49999999994</v>
      </c>
      <c r="S64" s="44">
        <f t="shared" si="33"/>
        <v>183901.15000000002</v>
      </c>
      <c r="T64" s="44">
        <f t="shared" si="33"/>
        <v>157864.24000000002</v>
      </c>
      <c r="U64" s="44">
        <f t="shared" si="33"/>
        <v>152477.27</v>
      </c>
      <c r="V64" s="44">
        <f t="shared" si="33"/>
        <v>152967.89999999997</v>
      </c>
      <c r="W64" s="44">
        <f>SUM(W65:W86)</f>
        <v>182942.94999999998</v>
      </c>
      <c r="X64" s="44">
        <f>SUM(X65:X86)</f>
        <v>136073.40000000002</v>
      </c>
      <c r="Y64" s="44">
        <f t="shared" si="33"/>
        <v>133938.65000000002</v>
      </c>
      <c r="Z64" s="44">
        <f t="shared" si="33"/>
        <v>122467.38</v>
      </c>
      <c r="AA64" s="44">
        <f>SUM(AA65:AA86)</f>
        <v>142108.06999999998</v>
      </c>
      <c r="AB64" s="44">
        <f>SUM(AB65:AB86)</f>
        <v>140882.96</v>
      </c>
      <c r="AC64" s="44">
        <f>SUM(AC65:AC86)</f>
        <v>346867.63000000006</v>
      </c>
      <c r="AD64" s="44">
        <f>SUM(AD65:AD86)</f>
        <v>2029585.0999999996</v>
      </c>
      <c r="AE64" s="44">
        <f>SUM(AE65:AE86)</f>
        <v>207092.90000000005</v>
      </c>
      <c r="AF64" s="615">
        <f t="shared" si="1"/>
        <v>90.74104989631944</v>
      </c>
    </row>
    <row r="65" spans="2:32" s="34" customFormat="1" ht="25.5">
      <c r="B65" s="40"/>
      <c r="C65" s="48"/>
      <c r="D65" s="48">
        <v>3020</v>
      </c>
      <c r="E65" s="49" t="s">
        <v>530</v>
      </c>
      <c r="F65" s="50">
        <v>6500</v>
      </c>
      <c r="G65" s="51"/>
      <c r="H65" s="51"/>
      <c r="I65" s="51"/>
      <c r="J65" s="51"/>
      <c r="K65" s="51"/>
      <c r="L65" s="51"/>
      <c r="M65" s="51"/>
      <c r="N65" s="51"/>
      <c r="O65" s="51"/>
      <c r="P65" s="51">
        <v>300</v>
      </c>
      <c r="Q65" s="52">
        <f aca="true" t="shared" si="34" ref="Q65:Q86">F65+G65+H65+I65+J65+K65+L65+M65+N65+O65+P65</f>
        <v>6800</v>
      </c>
      <c r="R65" s="50">
        <v>173.36</v>
      </c>
      <c r="S65" s="50">
        <v>198.13</v>
      </c>
      <c r="T65" s="50">
        <v>1866.08</v>
      </c>
      <c r="U65" s="50">
        <v>1133.6</v>
      </c>
      <c r="V65" s="50">
        <v>337.43</v>
      </c>
      <c r="W65" s="50">
        <v>319.66</v>
      </c>
      <c r="X65" s="50"/>
      <c r="Y65" s="50">
        <v>272.42</v>
      </c>
      <c r="Z65" s="50">
        <v>1351.4</v>
      </c>
      <c r="AA65" s="50">
        <v>498.6</v>
      </c>
      <c r="AB65" s="50">
        <v>272.42</v>
      </c>
      <c r="AC65" s="50">
        <v>375.83</v>
      </c>
      <c r="AD65" s="53">
        <f>SUM(R65:AC65)</f>
        <v>6798.93</v>
      </c>
      <c r="AE65" s="72">
        <f aca="true" t="shared" si="35" ref="AE65:AE86">Q65-AD65</f>
        <v>1.069999999999709</v>
      </c>
      <c r="AF65" s="616">
        <f t="shared" si="1"/>
        <v>99.98426470588235</v>
      </c>
    </row>
    <row r="66" spans="2:32" s="34" customFormat="1" ht="12.75">
      <c r="B66" s="40"/>
      <c r="C66" s="48"/>
      <c r="D66" s="48">
        <v>4010</v>
      </c>
      <c r="E66" s="49" t="s">
        <v>524</v>
      </c>
      <c r="F66" s="50">
        <v>1162700</v>
      </c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2">
        <f t="shared" si="34"/>
        <v>1162700</v>
      </c>
      <c r="R66" s="50">
        <v>89213.11</v>
      </c>
      <c r="S66" s="50">
        <v>80841.46</v>
      </c>
      <c r="T66" s="50">
        <v>85092.74</v>
      </c>
      <c r="U66" s="50">
        <v>102306.04</v>
      </c>
      <c r="V66" s="50">
        <v>93915.83</v>
      </c>
      <c r="W66" s="50">
        <v>76144.66</v>
      </c>
      <c r="X66" s="50">
        <v>87089.39</v>
      </c>
      <c r="Y66" s="50">
        <v>87599.05</v>
      </c>
      <c r="Z66" s="50">
        <v>75516.92</v>
      </c>
      <c r="AA66" s="50">
        <v>88972.74</v>
      </c>
      <c r="AB66" s="50">
        <v>105737.35</v>
      </c>
      <c r="AC66" s="50">
        <v>98859.14</v>
      </c>
      <c r="AD66" s="53">
        <f aca="true" t="shared" si="36" ref="AD66:AD86">SUM(R66:AC66)</f>
        <v>1071288.43</v>
      </c>
      <c r="AE66" s="50">
        <f t="shared" si="35"/>
        <v>91411.57000000007</v>
      </c>
      <c r="AF66" s="616">
        <f t="shared" si="1"/>
        <v>92.13799174335598</v>
      </c>
    </row>
    <row r="67" spans="2:32" s="34" customFormat="1" ht="12.75">
      <c r="B67" s="40"/>
      <c r="C67" s="48"/>
      <c r="D67" s="48">
        <v>4040</v>
      </c>
      <c r="E67" s="49" t="s">
        <v>531</v>
      </c>
      <c r="F67" s="50">
        <v>81700</v>
      </c>
      <c r="G67" s="51"/>
      <c r="H67" s="72">
        <v>-1519</v>
      </c>
      <c r="I67" s="51"/>
      <c r="J67" s="51"/>
      <c r="K67" s="51"/>
      <c r="L67" s="51"/>
      <c r="M67" s="51"/>
      <c r="N67" s="51"/>
      <c r="O67" s="51"/>
      <c r="P67" s="51"/>
      <c r="Q67" s="52">
        <f t="shared" si="34"/>
        <v>80181</v>
      </c>
      <c r="R67" s="50">
        <v>51979.36</v>
      </c>
      <c r="S67" s="50">
        <v>28200.7</v>
      </c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3">
        <f t="shared" si="36"/>
        <v>80180.06</v>
      </c>
      <c r="AE67" s="50">
        <f t="shared" si="35"/>
        <v>0.9400000000023283</v>
      </c>
      <c r="AF67" s="616">
        <f t="shared" si="1"/>
        <v>99.99882765243636</v>
      </c>
    </row>
    <row r="68" spans="2:32" s="34" customFormat="1" ht="12.75">
      <c r="B68" s="40"/>
      <c r="C68" s="48"/>
      <c r="D68" s="48">
        <v>4110</v>
      </c>
      <c r="E68" s="49" t="s">
        <v>525</v>
      </c>
      <c r="F68" s="50">
        <v>205980</v>
      </c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2">
        <f t="shared" si="34"/>
        <v>205980</v>
      </c>
      <c r="R68" s="50">
        <v>11132.96</v>
      </c>
      <c r="S68" s="50">
        <v>27838.72</v>
      </c>
      <c r="T68" s="50">
        <v>9405.23</v>
      </c>
      <c r="U68" s="50">
        <v>14453.43</v>
      </c>
      <c r="V68" s="50">
        <v>12855.53</v>
      </c>
      <c r="W68" s="50">
        <v>12152.44</v>
      </c>
      <c r="X68" s="50">
        <v>14638.58</v>
      </c>
      <c r="Y68" s="50">
        <v>13089.72</v>
      </c>
      <c r="Z68" s="50">
        <v>12068.85</v>
      </c>
      <c r="AA68" s="50">
        <v>12475.89</v>
      </c>
      <c r="AB68" s="50">
        <v>11497.84</v>
      </c>
      <c r="AC68" s="50">
        <v>14654.84</v>
      </c>
      <c r="AD68" s="53">
        <f t="shared" si="36"/>
        <v>166264.03000000003</v>
      </c>
      <c r="AE68" s="50">
        <f t="shared" si="35"/>
        <v>39715.96999999997</v>
      </c>
      <c r="AF68" s="616">
        <f t="shared" si="1"/>
        <v>80.71853092533257</v>
      </c>
    </row>
    <row r="69" spans="2:32" s="34" customFormat="1" ht="12.75">
      <c r="B69" s="40"/>
      <c r="C69" s="48"/>
      <c r="D69" s="48">
        <v>4120</v>
      </c>
      <c r="E69" s="49" t="s">
        <v>532</v>
      </c>
      <c r="F69" s="50">
        <v>31020</v>
      </c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2">
        <f t="shared" si="34"/>
        <v>31020</v>
      </c>
      <c r="R69" s="50">
        <v>2139.36</v>
      </c>
      <c r="S69" s="50">
        <v>4210.67</v>
      </c>
      <c r="T69" s="50">
        <v>1857.03</v>
      </c>
      <c r="U69" s="50">
        <v>1919.83</v>
      </c>
      <c r="V69" s="50">
        <v>2040.22</v>
      </c>
      <c r="W69" s="50">
        <v>2374.47</v>
      </c>
      <c r="X69" s="50">
        <v>2168.46</v>
      </c>
      <c r="Y69" s="50">
        <v>2121.46</v>
      </c>
      <c r="Z69" s="50">
        <v>2244.77</v>
      </c>
      <c r="AA69" s="50">
        <v>2175.53</v>
      </c>
      <c r="AB69" s="50">
        <v>2224.27</v>
      </c>
      <c r="AC69" s="50">
        <v>2845.96</v>
      </c>
      <c r="AD69" s="53">
        <f t="shared" si="36"/>
        <v>28322.03</v>
      </c>
      <c r="AE69" s="50">
        <f t="shared" si="35"/>
        <v>2697.970000000001</v>
      </c>
      <c r="AF69" s="616">
        <f t="shared" si="1"/>
        <v>91.30248226950354</v>
      </c>
    </row>
    <row r="70" spans="2:32" s="34" customFormat="1" ht="16.5" customHeight="1">
      <c r="B70" s="40"/>
      <c r="C70" s="48"/>
      <c r="D70" s="48">
        <v>4170</v>
      </c>
      <c r="E70" s="49" t="s">
        <v>533</v>
      </c>
      <c r="F70" s="50"/>
      <c r="G70" s="51">
        <v>3100</v>
      </c>
      <c r="H70" s="51">
        <v>5146</v>
      </c>
      <c r="I70" s="51"/>
      <c r="J70" s="51"/>
      <c r="K70" s="51"/>
      <c r="L70" s="51"/>
      <c r="M70" s="51"/>
      <c r="N70" s="51">
        <v>1500</v>
      </c>
      <c r="O70" s="51"/>
      <c r="P70" s="51"/>
      <c r="Q70" s="52">
        <f t="shared" si="34"/>
        <v>9746</v>
      </c>
      <c r="R70" s="50">
        <v>839.44</v>
      </c>
      <c r="S70" s="50">
        <v>1604.6</v>
      </c>
      <c r="T70" s="50">
        <v>625.16</v>
      </c>
      <c r="U70" s="50">
        <v>492</v>
      </c>
      <c r="V70" s="50">
        <v>858.59</v>
      </c>
      <c r="W70" s="50">
        <v>407.5</v>
      </c>
      <c r="X70" s="50">
        <v>1275.22</v>
      </c>
      <c r="Y70" s="50">
        <v>1451.69</v>
      </c>
      <c r="Z70" s="50">
        <f>1044.65-637.61</f>
        <v>407.0400000000001</v>
      </c>
      <c r="AA70" s="50">
        <v>1044.65</v>
      </c>
      <c r="AB70" s="50"/>
      <c r="AC70" s="50"/>
      <c r="AD70" s="53">
        <f>SUM(R70:AC70)</f>
        <v>9005.890000000001</v>
      </c>
      <c r="AE70" s="50">
        <f>Q70-AD70</f>
        <v>740.1099999999988</v>
      </c>
      <c r="AF70" s="616">
        <f t="shared" si="1"/>
        <v>92.40601272316849</v>
      </c>
    </row>
    <row r="71" spans="2:32" s="34" customFormat="1" ht="12.75">
      <c r="B71" s="40"/>
      <c r="C71" s="48"/>
      <c r="D71" s="48">
        <v>4210</v>
      </c>
      <c r="E71" s="49" t="s">
        <v>1201</v>
      </c>
      <c r="F71" s="50">
        <f>10000+5000+13000+6700+27400+3000+5000</f>
        <v>70100</v>
      </c>
      <c r="G71" s="51"/>
      <c r="H71" s="51"/>
      <c r="I71" s="51"/>
      <c r="J71" s="51">
        <v>10900</v>
      </c>
      <c r="K71" s="51"/>
      <c r="L71" s="51"/>
      <c r="M71" s="51"/>
      <c r="N71" s="51"/>
      <c r="O71" s="51"/>
      <c r="P71" s="72">
        <v>-8650</v>
      </c>
      <c r="Q71" s="52">
        <f t="shared" si="34"/>
        <v>72350</v>
      </c>
      <c r="R71" s="50">
        <v>3818.74</v>
      </c>
      <c r="S71" s="50">
        <v>5218.12</v>
      </c>
      <c r="T71" s="50">
        <v>6456.79</v>
      </c>
      <c r="U71" s="50">
        <v>3578.84</v>
      </c>
      <c r="V71" s="50">
        <v>2630.69</v>
      </c>
      <c r="W71" s="50">
        <v>4355.47</v>
      </c>
      <c r="X71" s="50">
        <v>1900.55</v>
      </c>
      <c r="Y71" s="50">
        <v>5385.25</v>
      </c>
      <c r="Z71" s="50">
        <v>5660.22</v>
      </c>
      <c r="AA71" s="50">
        <v>12464.98</v>
      </c>
      <c r="AB71" s="50">
        <v>3093.03</v>
      </c>
      <c r="AC71" s="50">
        <f>9089.38+340</f>
        <v>9429.38</v>
      </c>
      <c r="AD71" s="53">
        <f t="shared" si="36"/>
        <v>63992.05999999999</v>
      </c>
      <c r="AE71" s="50">
        <f t="shared" si="35"/>
        <v>8357.94000000001</v>
      </c>
      <c r="AF71" s="616">
        <f t="shared" si="1"/>
        <v>88.44790601243952</v>
      </c>
    </row>
    <row r="72" spans="2:32" s="34" customFormat="1" ht="16.5" customHeight="1">
      <c r="B72" s="40"/>
      <c r="C72" s="48"/>
      <c r="D72" s="48">
        <v>4260</v>
      </c>
      <c r="E72" s="49" t="s">
        <v>527</v>
      </c>
      <c r="F72" s="50">
        <f>13500+500+200+22000</f>
        <v>36200</v>
      </c>
      <c r="G72" s="51"/>
      <c r="H72" s="51"/>
      <c r="I72" s="51"/>
      <c r="J72" s="51"/>
      <c r="K72" s="51"/>
      <c r="L72" s="51"/>
      <c r="M72" s="51"/>
      <c r="N72" s="51"/>
      <c r="O72" s="51"/>
      <c r="P72" s="51">
        <v>4200</v>
      </c>
      <c r="Q72" s="52">
        <f t="shared" si="34"/>
        <v>40400</v>
      </c>
      <c r="R72" s="50">
        <v>2843.61</v>
      </c>
      <c r="S72" s="50">
        <v>5853.64</v>
      </c>
      <c r="T72" s="50">
        <v>3204.01</v>
      </c>
      <c r="U72" s="50">
        <v>5237.83</v>
      </c>
      <c r="V72" s="50">
        <v>2193.08</v>
      </c>
      <c r="W72" s="50">
        <v>3297.44</v>
      </c>
      <c r="X72" s="50">
        <v>1204.71</v>
      </c>
      <c r="Y72" s="50">
        <v>3460.52</v>
      </c>
      <c r="Z72" s="50">
        <v>1258.81</v>
      </c>
      <c r="AA72" s="50">
        <v>4307.8</v>
      </c>
      <c r="AB72" s="50">
        <v>1611.7</v>
      </c>
      <c r="AC72" s="50">
        <v>5881.53</v>
      </c>
      <c r="AD72" s="53">
        <f t="shared" si="36"/>
        <v>40354.67999999999</v>
      </c>
      <c r="AE72" s="72">
        <f t="shared" si="35"/>
        <v>45.320000000006985</v>
      </c>
      <c r="AF72" s="616">
        <f aca="true" t="shared" si="37" ref="AF72:AF142">AD72*100/Q72</f>
        <v>99.8878217821782</v>
      </c>
    </row>
    <row r="73" spans="2:32" s="34" customFormat="1" ht="12" customHeight="1">
      <c r="B73" s="40"/>
      <c r="C73" s="48"/>
      <c r="D73" s="48">
        <v>4270</v>
      </c>
      <c r="E73" s="49" t="s">
        <v>1202</v>
      </c>
      <c r="F73" s="50">
        <v>18000</v>
      </c>
      <c r="G73" s="51"/>
      <c r="H73" s="51">
        <v>30000</v>
      </c>
      <c r="I73" s="51"/>
      <c r="J73" s="51">
        <v>25000</v>
      </c>
      <c r="K73" s="51"/>
      <c r="L73" s="51"/>
      <c r="M73" s="51">
        <v>130000</v>
      </c>
      <c r="N73" s="51"/>
      <c r="O73" s="51"/>
      <c r="P73" s="51"/>
      <c r="Q73" s="52">
        <f t="shared" si="34"/>
        <v>203000</v>
      </c>
      <c r="R73" s="50"/>
      <c r="S73" s="50">
        <v>2444.17</v>
      </c>
      <c r="T73" s="50">
        <v>2833.72</v>
      </c>
      <c r="U73" s="50">
        <v>2223.72</v>
      </c>
      <c r="V73" s="50">
        <v>8653.12</v>
      </c>
      <c r="W73" s="50">
        <v>2795.9</v>
      </c>
      <c r="X73" s="50">
        <v>18202.91</v>
      </c>
      <c r="Y73" s="50">
        <v>4995.24</v>
      </c>
      <c r="Z73" s="50">
        <f>2992.32+637.61</f>
        <v>3629.9300000000003</v>
      </c>
      <c r="AA73" s="50">
        <v>4377.11</v>
      </c>
      <c r="AB73" s="50">
        <v>2476.26</v>
      </c>
      <c r="AC73" s="50">
        <v>138085.47</v>
      </c>
      <c r="AD73" s="53">
        <f t="shared" si="36"/>
        <v>190717.55</v>
      </c>
      <c r="AE73" s="50">
        <f t="shared" si="35"/>
        <v>12282.450000000012</v>
      </c>
      <c r="AF73" s="616">
        <f t="shared" si="37"/>
        <v>93.94953201970444</v>
      </c>
    </row>
    <row r="74" spans="2:32" s="34" customFormat="1" ht="15.75" customHeight="1">
      <c r="B74" s="40"/>
      <c r="C74" s="48"/>
      <c r="D74" s="48">
        <v>4280</v>
      </c>
      <c r="E74" s="49" t="s">
        <v>534</v>
      </c>
      <c r="F74" s="50">
        <v>400</v>
      </c>
      <c r="G74" s="51"/>
      <c r="H74" s="51"/>
      <c r="I74" s="51"/>
      <c r="J74" s="51">
        <v>1000</v>
      </c>
      <c r="K74" s="51"/>
      <c r="L74" s="51"/>
      <c r="M74" s="51"/>
      <c r="N74" s="51"/>
      <c r="O74" s="51"/>
      <c r="P74" s="51"/>
      <c r="Q74" s="52">
        <f t="shared" si="34"/>
        <v>1400</v>
      </c>
      <c r="R74" s="50"/>
      <c r="S74" s="50"/>
      <c r="T74" s="50"/>
      <c r="U74" s="50">
        <v>134</v>
      </c>
      <c r="V74" s="50">
        <v>100</v>
      </c>
      <c r="W74" s="50"/>
      <c r="X74" s="50"/>
      <c r="Y74" s="50">
        <v>50</v>
      </c>
      <c r="Z74" s="50"/>
      <c r="AA74" s="50">
        <v>64</v>
      </c>
      <c r="AB74" s="50">
        <v>70</v>
      </c>
      <c r="AC74" s="50"/>
      <c r="AD74" s="53">
        <f>SUM(R74:AC74)</f>
        <v>418</v>
      </c>
      <c r="AE74" s="50">
        <f>Q74-AD74</f>
        <v>982</v>
      </c>
      <c r="AF74" s="616">
        <f>AD74*100/Q74</f>
        <v>29.857142857142858</v>
      </c>
    </row>
    <row r="75" spans="2:32" s="34" customFormat="1" ht="15.75" customHeight="1">
      <c r="B75" s="40"/>
      <c r="C75" s="48"/>
      <c r="D75" s="48">
        <v>4300</v>
      </c>
      <c r="E75" s="49" t="s">
        <v>1203</v>
      </c>
      <c r="F75" s="50">
        <v>67850</v>
      </c>
      <c r="G75" s="51"/>
      <c r="H75" s="51"/>
      <c r="I75" s="51"/>
      <c r="J75" s="51">
        <v>3000</v>
      </c>
      <c r="K75" s="51"/>
      <c r="L75" s="51"/>
      <c r="M75" s="51">
        <v>45000</v>
      </c>
      <c r="N75" s="51"/>
      <c r="O75" s="51"/>
      <c r="P75" s="51"/>
      <c r="Q75" s="52">
        <f t="shared" si="34"/>
        <v>115850</v>
      </c>
      <c r="R75" s="50">
        <v>8104.21</v>
      </c>
      <c r="S75" s="50">
        <f>11086.24</f>
        <v>11086.24</v>
      </c>
      <c r="T75" s="50">
        <v>11285.06</v>
      </c>
      <c r="U75" s="50">
        <v>8699</v>
      </c>
      <c r="V75" s="50">
        <f>9323.26-36.38+210</f>
        <v>9496.880000000001</v>
      </c>
      <c r="W75" s="50">
        <f>12713.63+89.94-32.1</f>
        <v>12771.47</v>
      </c>
      <c r="X75" s="50">
        <v>5071.28</v>
      </c>
      <c r="Y75" s="50">
        <v>6915.1</v>
      </c>
      <c r="Z75" s="50">
        <v>11871.29</v>
      </c>
      <c r="AA75" s="50">
        <v>6392.98</v>
      </c>
      <c r="AB75" s="50">
        <v>6463.84</v>
      </c>
      <c r="AC75" s="50">
        <v>14908.08</v>
      </c>
      <c r="AD75" s="53">
        <f t="shared" si="36"/>
        <v>113065.43</v>
      </c>
      <c r="AE75" s="50">
        <f t="shared" si="35"/>
        <v>2784.570000000007</v>
      </c>
      <c r="AF75" s="616">
        <f t="shared" si="37"/>
        <v>97.59640051791109</v>
      </c>
    </row>
    <row r="76" spans="2:32" s="34" customFormat="1" ht="12.75">
      <c r="B76" s="40"/>
      <c r="C76" s="48"/>
      <c r="D76" s="48">
        <v>4350</v>
      </c>
      <c r="E76" s="49" t="s">
        <v>535</v>
      </c>
      <c r="F76" s="50">
        <v>4500</v>
      </c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2">
        <f t="shared" si="34"/>
        <v>4500</v>
      </c>
      <c r="R76" s="50">
        <v>364.78</v>
      </c>
      <c r="S76" s="50">
        <v>364.78</v>
      </c>
      <c r="T76" s="50">
        <v>364.78</v>
      </c>
      <c r="U76" s="50">
        <v>364.78</v>
      </c>
      <c r="V76" s="50">
        <v>364.78</v>
      </c>
      <c r="W76" s="50">
        <v>364.78</v>
      </c>
      <c r="X76" s="50">
        <v>364.78</v>
      </c>
      <c r="Y76" s="50">
        <v>364.78</v>
      </c>
      <c r="Z76" s="50">
        <v>364.78</v>
      </c>
      <c r="AA76" s="50">
        <v>364.78</v>
      </c>
      <c r="AB76" s="50">
        <v>364.78</v>
      </c>
      <c r="AC76" s="50">
        <v>364.78</v>
      </c>
      <c r="AD76" s="53">
        <f t="shared" si="36"/>
        <v>4377.359999999999</v>
      </c>
      <c r="AE76" s="50">
        <f t="shared" si="35"/>
        <v>122.64000000000124</v>
      </c>
      <c r="AF76" s="616">
        <f t="shared" si="37"/>
        <v>97.27466666666665</v>
      </c>
    </row>
    <row r="77" spans="2:32" s="34" customFormat="1" ht="25.5">
      <c r="B77" s="40"/>
      <c r="C77" s="48"/>
      <c r="D77" s="48">
        <v>4360</v>
      </c>
      <c r="E77" s="49" t="s">
        <v>536</v>
      </c>
      <c r="F77" s="50">
        <v>3100</v>
      </c>
      <c r="G77" s="51"/>
      <c r="H77" s="51"/>
      <c r="I77" s="51"/>
      <c r="J77" s="51"/>
      <c r="K77" s="51"/>
      <c r="L77" s="51"/>
      <c r="M77" s="51">
        <v>400</v>
      </c>
      <c r="N77" s="51"/>
      <c r="O77" s="51"/>
      <c r="P77" s="51">
        <v>350</v>
      </c>
      <c r="Q77" s="52">
        <f t="shared" si="34"/>
        <v>3850</v>
      </c>
      <c r="R77" s="50">
        <v>258.11</v>
      </c>
      <c r="S77" s="50">
        <v>191.74</v>
      </c>
      <c r="T77" s="50">
        <v>185.89</v>
      </c>
      <c r="U77" s="50">
        <v>302.15</v>
      </c>
      <c r="V77" s="50">
        <v>333.67</v>
      </c>
      <c r="W77" s="50">
        <v>281.15</v>
      </c>
      <c r="X77" s="50">
        <v>304.16</v>
      </c>
      <c r="Y77" s="50">
        <v>480.08</v>
      </c>
      <c r="Z77" s="50">
        <v>269.37</v>
      </c>
      <c r="AA77" s="50">
        <v>416.33</v>
      </c>
      <c r="AB77" s="50">
        <v>161.75</v>
      </c>
      <c r="AC77" s="50">
        <v>635.52</v>
      </c>
      <c r="AD77" s="53">
        <f>SUM(R77:AC77)</f>
        <v>3819.92</v>
      </c>
      <c r="AE77" s="72">
        <f>Q77-AD77</f>
        <v>30.079999999999927</v>
      </c>
      <c r="AF77" s="616">
        <f>AD77*100/Q77</f>
        <v>99.2187012987013</v>
      </c>
    </row>
    <row r="78" spans="2:32" s="34" customFormat="1" ht="25.5">
      <c r="B78" s="40"/>
      <c r="C78" s="48"/>
      <c r="D78" s="48">
        <v>4370</v>
      </c>
      <c r="E78" s="49" t="s">
        <v>537</v>
      </c>
      <c r="F78" s="50">
        <v>31500</v>
      </c>
      <c r="G78" s="51"/>
      <c r="H78" s="51"/>
      <c r="I78" s="51"/>
      <c r="J78" s="51"/>
      <c r="K78" s="51"/>
      <c r="L78" s="51"/>
      <c r="M78" s="72"/>
      <c r="N78" s="72"/>
      <c r="O78" s="51"/>
      <c r="P78" s="51"/>
      <c r="Q78" s="52">
        <f t="shared" si="34"/>
        <v>31500</v>
      </c>
      <c r="R78" s="50">
        <v>1813.46</v>
      </c>
      <c r="S78" s="50">
        <v>2212.74</v>
      </c>
      <c r="T78" s="50">
        <v>1876.22</v>
      </c>
      <c r="U78" s="50">
        <v>1782.79</v>
      </c>
      <c r="V78" s="50">
        <v>1793.11</v>
      </c>
      <c r="W78" s="50">
        <v>1831.15</v>
      </c>
      <c r="X78" s="50">
        <v>2199.79</v>
      </c>
      <c r="Y78" s="50">
        <f>2401-195.25</f>
        <v>2205.75</v>
      </c>
      <c r="Z78" s="50">
        <v>2486.29</v>
      </c>
      <c r="AA78" s="50">
        <v>2045.16</v>
      </c>
      <c r="AB78" s="50">
        <v>2589.95</v>
      </c>
      <c r="AC78" s="50">
        <v>2321</v>
      </c>
      <c r="AD78" s="53">
        <f>SUM(R78:AC78)</f>
        <v>25157.41</v>
      </c>
      <c r="AE78" s="50">
        <f>Q78-AD78</f>
        <v>6342.59</v>
      </c>
      <c r="AF78" s="616">
        <f>AD78*100/Q78</f>
        <v>79.86479365079366</v>
      </c>
    </row>
    <row r="79" spans="2:32" s="34" customFormat="1" ht="18" customHeight="1">
      <c r="B79" s="40"/>
      <c r="C79" s="48"/>
      <c r="D79" s="48">
        <v>4410</v>
      </c>
      <c r="E79" s="49" t="s">
        <v>528</v>
      </c>
      <c r="F79" s="50">
        <v>32000</v>
      </c>
      <c r="G79" s="51"/>
      <c r="H79" s="51"/>
      <c r="I79" s="51"/>
      <c r="J79" s="51"/>
      <c r="K79" s="51"/>
      <c r="L79" s="51"/>
      <c r="M79" s="51"/>
      <c r="N79" s="51"/>
      <c r="O79" s="51"/>
      <c r="P79" s="51">
        <v>3800</v>
      </c>
      <c r="Q79" s="52">
        <f t="shared" si="34"/>
        <v>35800</v>
      </c>
      <c r="R79" s="50">
        <v>1792.91</v>
      </c>
      <c r="S79" s="50">
        <v>2094.57</v>
      </c>
      <c r="T79" s="50">
        <v>2617.14</v>
      </c>
      <c r="U79" s="50">
        <v>3250.49</v>
      </c>
      <c r="V79" s="50">
        <f>2681.61-210</f>
        <v>2471.61</v>
      </c>
      <c r="W79" s="50">
        <v>3686.75</v>
      </c>
      <c r="X79" s="50">
        <v>2159.46</v>
      </c>
      <c r="Y79" s="50">
        <v>2994.43</v>
      </c>
      <c r="Z79" s="50">
        <v>3608.94</v>
      </c>
      <c r="AA79" s="50">
        <v>4311.46</v>
      </c>
      <c r="AB79" s="50">
        <v>3083.25</v>
      </c>
      <c r="AC79" s="50">
        <v>3668.43</v>
      </c>
      <c r="AD79" s="53">
        <f t="shared" si="36"/>
        <v>35739.439999999995</v>
      </c>
      <c r="AE79" s="72">
        <f t="shared" si="35"/>
        <v>60.56000000000495</v>
      </c>
      <c r="AF79" s="616">
        <f t="shared" si="37"/>
        <v>99.8308379888268</v>
      </c>
    </row>
    <row r="80" spans="2:32" s="34" customFormat="1" ht="12.75">
      <c r="B80" s="40"/>
      <c r="C80" s="48"/>
      <c r="D80" s="48">
        <v>4420</v>
      </c>
      <c r="E80" s="49" t="s">
        <v>529</v>
      </c>
      <c r="F80" s="50">
        <v>2000</v>
      </c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2">
        <f t="shared" si="34"/>
        <v>2000</v>
      </c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3">
        <f t="shared" si="36"/>
        <v>0</v>
      </c>
      <c r="AE80" s="50">
        <f t="shared" si="35"/>
        <v>2000</v>
      </c>
      <c r="AF80" s="616">
        <f t="shared" si="37"/>
        <v>0</v>
      </c>
    </row>
    <row r="81" spans="2:32" s="34" customFormat="1" ht="17.25" customHeight="1">
      <c r="B81" s="40"/>
      <c r="C81" s="48"/>
      <c r="D81" s="48">
        <v>4430</v>
      </c>
      <c r="E81" s="49" t="s">
        <v>1210</v>
      </c>
      <c r="F81" s="50">
        <f>1000+5700+1800+1700+5500+81</f>
        <v>15781</v>
      </c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2">
        <f t="shared" si="34"/>
        <v>15781</v>
      </c>
      <c r="R81" s="50">
        <v>2.44</v>
      </c>
      <c r="S81" s="50">
        <v>5002.44</v>
      </c>
      <c r="T81" s="50">
        <v>4506.02</v>
      </c>
      <c r="U81" s="50">
        <v>5805.44</v>
      </c>
      <c r="V81" s="50">
        <v>-2287.12</v>
      </c>
      <c r="W81" s="50">
        <v>1627.44</v>
      </c>
      <c r="X81" s="72">
        <v>-1278.2</v>
      </c>
      <c r="Y81" s="50">
        <v>2.44</v>
      </c>
      <c r="Z81" s="50">
        <v>2.44</v>
      </c>
      <c r="AA81" s="50">
        <v>844.24</v>
      </c>
      <c r="AB81" s="50">
        <v>4.88</v>
      </c>
      <c r="AC81" s="50">
        <v>2.44</v>
      </c>
      <c r="AD81" s="53">
        <f t="shared" si="36"/>
        <v>14234.900000000001</v>
      </c>
      <c r="AE81" s="50">
        <f t="shared" si="35"/>
        <v>1546.0999999999985</v>
      </c>
      <c r="AF81" s="616">
        <f t="shared" si="37"/>
        <v>90.20277548951272</v>
      </c>
    </row>
    <row r="82" spans="2:32" s="34" customFormat="1" ht="18" customHeight="1">
      <c r="B82" s="40"/>
      <c r="C82" s="48"/>
      <c r="D82" s="48">
        <v>4440</v>
      </c>
      <c r="E82" s="49" t="s">
        <v>538</v>
      </c>
      <c r="F82" s="50">
        <v>35520</v>
      </c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2">
        <f t="shared" si="34"/>
        <v>35520</v>
      </c>
      <c r="R82" s="50"/>
      <c r="S82" s="50"/>
      <c r="T82" s="50">
        <v>22200</v>
      </c>
      <c r="U82" s="50"/>
      <c r="V82" s="50">
        <v>13320</v>
      </c>
      <c r="W82" s="50"/>
      <c r="X82" s="50"/>
      <c r="Y82" s="50"/>
      <c r="Z82" s="50"/>
      <c r="AA82" s="50"/>
      <c r="AB82" s="50"/>
      <c r="AC82" s="50"/>
      <c r="AD82" s="53">
        <f t="shared" si="36"/>
        <v>35520</v>
      </c>
      <c r="AE82" s="50">
        <f t="shared" si="35"/>
        <v>0</v>
      </c>
      <c r="AF82" s="616">
        <f t="shared" si="37"/>
        <v>100</v>
      </c>
    </row>
    <row r="83" spans="2:32" s="34" customFormat="1" ht="25.5">
      <c r="B83" s="40"/>
      <c r="C83" s="48"/>
      <c r="D83" s="48">
        <v>4740</v>
      </c>
      <c r="E83" s="49" t="s">
        <v>497</v>
      </c>
      <c r="F83" s="50">
        <f>10000</f>
        <v>10000</v>
      </c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2">
        <f t="shared" si="34"/>
        <v>10000</v>
      </c>
      <c r="R83" s="50">
        <v>580.72</v>
      </c>
      <c r="S83" s="50">
        <v>290.65</v>
      </c>
      <c r="T83" s="50">
        <v>501.73</v>
      </c>
      <c r="U83" s="50">
        <v>259.25</v>
      </c>
      <c r="V83" s="50">
        <v>512.4</v>
      </c>
      <c r="W83" s="50">
        <v>635.79</v>
      </c>
      <c r="X83" s="50"/>
      <c r="Y83" s="50">
        <v>551.51</v>
      </c>
      <c r="Z83" s="50">
        <v>656.59</v>
      </c>
      <c r="AA83" s="50">
        <v>260.78</v>
      </c>
      <c r="AB83" s="50">
        <v>527.65</v>
      </c>
      <c r="AC83" s="50">
        <v>915.49</v>
      </c>
      <c r="AD83" s="53">
        <f>SUM(R83:AC83)</f>
        <v>5692.5599999999995</v>
      </c>
      <c r="AE83" s="50">
        <f>Q83-AD83</f>
        <v>4307.4400000000005</v>
      </c>
      <c r="AF83" s="616">
        <f>AD83*100/Q83</f>
        <v>56.9256</v>
      </c>
    </row>
    <row r="84" spans="2:32" s="34" customFormat="1" ht="25.5">
      <c r="B84" s="40"/>
      <c r="C84" s="48"/>
      <c r="D84" s="48">
        <v>4750</v>
      </c>
      <c r="E84" s="49" t="s">
        <v>498</v>
      </c>
      <c r="F84" s="50">
        <f>20000</f>
        <v>20000</v>
      </c>
      <c r="G84" s="51"/>
      <c r="H84" s="51"/>
      <c r="I84" s="51"/>
      <c r="J84" s="51">
        <v>15000</v>
      </c>
      <c r="K84" s="51">
        <v>6100</v>
      </c>
      <c r="L84" s="51"/>
      <c r="M84" s="51"/>
      <c r="N84" s="51"/>
      <c r="O84" s="51"/>
      <c r="P84" s="51"/>
      <c r="Q84" s="52">
        <f t="shared" si="34"/>
        <v>41100</v>
      </c>
      <c r="R84" s="50">
        <v>2036.93</v>
      </c>
      <c r="S84" s="50">
        <v>6247.78</v>
      </c>
      <c r="T84" s="50">
        <v>2986.64</v>
      </c>
      <c r="U84" s="50">
        <v>534.08</v>
      </c>
      <c r="V84" s="50">
        <v>3378.08</v>
      </c>
      <c r="W84" s="50">
        <v>7839.48</v>
      </c>
      <c r="X84" s="50">
        <v>772.31</v>
      </c>
      <c r="Y84" s="50">
        <f>1803.96+195.25</f>
        <v>1999.21</v>
      </c>
      <c r="Z84" s="50">
        <v>1069.74</v>
      </c>
      <c r="AA84" s="50">
        <v>1091.04</v>
      </c>
      <c r="AB84" s="50">
        <v>703.99</v>
      </c>
      <c r="AC84" s="50">
        <v>8919.74</v>
      </c>
      <c r="AD84" s="53">
        <f>SUM(R84:AC84)</f>
        <v>37579.020000000004</v>
      </c>
      <c r="AE84" s="50">
        <f>Q84-AD84</f>
        <v>3520.979999999996</v>
      </c>
      <c r="AF84" s="616">
        <f>AD84*100/Q84</f>
        <v>91.4331386861314</v>
      </c>
    </row>
    <row r="85" spans="2:32" s="34" customFormat="1" ht="12.75">
      <c r="B85" s="40"/>
      <c r="C85" s="48"/>
      <c r="D85" s="48">
        <v>6050</v>
      </c>
      <c r="E85" s="49" t="s">
        <v>1204</v>
      </c>
      <c r="F85" s="50"/>
      <c r="G85" s="51"/>
      <c r="H85" s="51"/>
      <c r="I85" s="51"/>
      <c r="J85" s="51"/>
      <c r="K85" s="51">
        <v>45000</v>
      </c>
      <c r="L85" s="51"/>
      <c r="M85" s="51"/>
      <c r="N85" s="51"/>
      <c r="O85" s="51"/>
      <c r="P85" s="51"/>
      <c r="Q85" s="52">
        <f t="shared" si="34"/>
        <v>45000</v>
      </c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>
        <v>45000</v>
      </c>
      <c r="AD85" s="53">
        <f>SUM(R85:AC85)</f>
        <v>45000</v>
      </c>
      <c r="AE85" s="50">
        <f>Q85-AD85</f>
        <v>0</v>
      </c>
      <c r="AF85" s="616">
        <f>AD85*100/Q85</f>
        <v>100</v>
      </c>
    </row>
    <row r="86" spans="2:32" s="34" customFormat="1" ht="25.5">
      <c r="B86" s="40"/>
      <c r="C86" s="48"/>
      <c r="D86" s="48">
        <v>6060</v>
      </c>
      <c r="E86" s="49" t="s">
        <v>396</v>
      </c>
      <c r="F86" s="50">
        <f>60200+22000</f>
        <v>82200</v>
      </c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2">
        <f t="shared" si="34"/>
        <v>82200</v>
      </c>
      <c r="R86" s="50"/>
      <c r="S86" s="50"/>
      <c r="T86" s="50"/>
      <c r="U86" s="50"/>
      <c r="V86" s="50"/>
      <c r="W86" s="50">
        <v>52057.4</v>
      </c>
      <c r="X86" s="50"/>
      <c r="Y86" s="50"/>
      <c r="Z86" s="50"/>
      <c r="AA86" s="50"/>
      <c r="AB86" s="50"/>
      <c r="AC86" s="50"/>
      <c r="AD86" s="53">
        <f t="shared" si="36"/>
        <v>52057.4</v>
      </c>
      <c r="AE86" s="50">
        <f t="shared" si="35"/>
        <v>30142.6</v>
      </c>
      <c r="AF86" s="616">
        <f t="shared" si="37"/>
        <v>63.330170316301704</v>
      </c>
    </row>
    <row r="87" spans="2:32" s="34" customFormat="1" ht="12.75">
      <c r="B87" s="40"/>
      <c r="C87" s="42">
        <v>75095</v>
      </c>
      <c r="D87" s="42"/>
      <c r="E87" s="43" t="s">
        <v>99</v>
      </c>
      <c r="F87" s="44">
        <f>SUM(F88:F94)</f>
        <v>88000</v>
      </c>
      <c r="G87" s="45">
        <f>SUM(G88:G94)</f>
        <v>37154</v>
      </c>
      <c r="H87" s="70">
        <f>SUM(H88:H94)</f>
        <v>-5840</v>
      </c>
      <c r="I87" s="45">
        <f>SUM(I88:I92)</f>
        <v>0</v>
      </c>
      <c r="J87" s="45">
        <f>SUM(J88:J92)</f>
        <v>81000</v>
      </c>
      <c r="K87" s="45">
        <f>SUM(K88:K94)</f>
        <v>68546</v>
      </c>
      <c r="L87" s="45">
        <f>SUM(L88:L92)</f>
        <v>0</v>
      </c>
      <c r="M87" s="45">
        <f aca="true" t="shared" si="38" ref="M87:U87">SUM(M88:M94)</f>
        <v>22520</v>
      </c>
      <c r="N87" s="45">
        <f>SUM(N88:N94)</f>
        <v>0</v>
      </c>
      <c r="O87" s="45">
        <f>SUM(O88:O94)</f>
        <v>23350</v>
      </c>
      <c r="P87" s="45">
        <f>SUM(P88:P94)</f>
        <v>0</v>
      </c>
      <c r="Q87" s="46">
        <f t="shared" si="38"/>
        <v>314730</v>
      </c>
      <c r="R87" s="44">
        <f t="shared" si="38"/>
        <v>933.01</v>
      </c>
      <c r="S87" s="44">
        <f t="shared" si="38"/>
        <v>7753.82</v>
      </c>
      <c r="T87" s="44">
        <f t="shared" si="38"/>
        <v>30037.42</v>
      </c>
      <c r="U87" s="44">
        <f t="shared" si="38"/>
        <v>9024.380000000001</v>
      </c>
      <c r="V87" s="44">
        <f>SUM(V88:V92)</f>
        <v>6720.4800000000005</v>
      </c>
      <c r="W87" s="44">
        <f>SUM(W88:W92)</f>
        <v>8136.95</v>
      </c>
      <c r="X87" s="44">
        <f>SUM(X88:X94)</f>
        <v>11411.29</v>
      </c>
      <c r="Y87" s="44">
        <f aca="true" t="shared" si="39" ref="Y87:AE87">SUM(Y88:Y94)</f>
        <v>20811.06</v>
      </c>
      <c r="Z87" s="44">
        <f t="shared" si="39"/>
        <v>10941.24</v>
      </c>
      <c r="AA87" s="44">
        <f>SUM(AA88:AA94)</f>
        <v>7890.9</v>
      </c>
      <c r="AB87" s="44">
        <f t="shared" si="39"/>
        <v>43964.46000000001</v>
      </c>
      <c r="AC87" s="44">
        <f t="shared" si="39"/>
        <v>62023.33</v>
      </c>
      <c r="AD87" s="44">
        <f t="shared" si="39"/>
        <v>219648.34</v>
      </c>
      <c r="AE87" s="44">
        <f t="shared" si="39"/>
        <v>95081.66</v>
      </c>
      <c r="AF87" s="615">
        <f t="shared" si="37"/>
        <v>69.78945127569663</v>
      </c>
    </row>
    <row r="88" spans="2:32" s="34" customFormat="1" ht="18" customHeight="1">
      <c r="B88" s="40"/>
      <c r="C88" s="42"/>
      <c r="D88" s="48">
        <v>4170</v>
      </c>
      <c r="E88" s="49" t="s">
        <v>533</v>
      </c>
      <c r="F88" s="50"/>
      <c r="G88" s="51">
        <v>314</v>
      </c>
      <c r="H88" s="51"/>
      <c r="I88" s="51"/>
      <c r="J88" s="51"/>
      <c r="K88" s="51"/>
      <c r="L88" s="51"/>
      <c r="M88" s="51"/>
      <c r="N88" s="51"/>
      <c r="O88" s="51"/>
      <c r="P88" s="51"/>
      <c r="Q88" s="52">
        <f aca="true" t="shared" si="40" ref="Q88:Q94">F88+G88+H88+I88+J88+K88+L88+M88+N88+O88+P88</f>
        <v>314</v>
      </c>
      <c r="R88" s="50"/>
      <c r="S88" s="50">
        <v>314</v>
      </c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3">
        <f aca="true" t="shared" si="41" ref="AD88:AD94">SUM(R88:AC88)</f>
        <v>314</v>
      </c>
      <c r="AE88" s="50">
        <f aca="true" t="shared" si="42" ref="AE88:AE94">Q88-AD88</f>
        <v>0</v>
      </c>
      <c r="AF88" s="616">
        <f t="shared" si="37"/>
        <v>100</v>
      </c>
    </row>
    <row r="89" spans="2:32" s="34" customFormat="1" ht="12.75">
      <c r="B89" s="40"/>
      <c r="C89" s="42"/>
      <c r="D89" s="48">
        <v>4210</v>
      </c>
      <c r="E89" s="49" t="s">
        <v>1201</v>
      </c>
      <c r="F89" s="50">
        <f>37000+8000</f>
        <v>45000</v>
      </c>
      <c r="G89" s="51"/>
      <c r="H89" s="51"/>
      <c r="I89" s="51"/>
      <c r="J89" s="51">
        <f>20000+35000</f>
        <v>55000</v>
      </c>
      <c r="K89" s="51"/>
      <c r="L89" s="51"/>
      <c r="M89" s="51"/>
      <c r="N89" s="51"/>
      <c r="O89" s="51"/>
      <c r="P89" s="51"/>
      <c r="Q89" s="52">
        <f t="shared" si="40"/>
        <v>100000</v>
      </c>
      <c r="R89" s="50">
        <v>430.37</v>
      </c>
      <c r="S89" s="50">
        <v>3251.98</v>
      </c>
      <c r="T89" s="50">
        <v>4330.86</v>
      </c>
      <c r="U89" s="50">
        <v>3806.36</v>
      </c>
      <c r="V89" s="50">
        <v>4861.55</v>
      </c>
      <c r="W89" s="50">
        <v>5775.03</v>
      </c>
      <c r="X89" s="50">
        <v>4386.25</v>
      </c>
      <c r="Y89" s="50">
        <v>18460.36</v>
      </c>
      <c r="Z89" s="50">
        <v>2138.31</v>
      </c>
      <c r="AA89" s="50">
        <v>2472.58</v>
      </c>
      <c r="AB89" s="50">
        <v>5213.1</v>
      </c>
      <c r="AC89" s="50">
        <v>7983.35</v>
      </c>
      <c r="AD89" s="53">
        <f t="shared" si="41"/>
        <v>63110.09999999999</v>
      </c>
      <c r="AE89" s="50">
        <f t="shared" si="42"/>
        <v>36889.90000000001</v>
      </c>
      <c r="AF89" s="616">
        <f t="shared" si="37"/>
        <v>63.11009999999999</v>
      </c>
    </row>
    <row r="90" spans="2:32" s="34" customFormat="1" ht="14.25" customHeight="1">
      <c r="B90" s="40"/>
      <c r="C90" s="42"/>
      <c r="D90" s="48">
        <v>4260</v>
      </c>
      <c r="E90" s="49" t="s">
        <v>527</v>
      </c>
      <c r="F90" s="50">
        <v>25000</v>
      </c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2">
        <f t="shared" si="40"/>
        <v>25000</v>
      </c>
      <c r="R90" s="50">
        <v>136.64</v>
      </c>
      <c r="S90" s="50">
        <v>4176.84</v>
      </c>
      <c r="T90" s="50">
        <v>1098.64</v>
      </c>
      <c r="U90" s="50">
        <v>2059.42</v>
      </c>
      <c r="V90" s="50">
        <v>1858.93</v>
      </c>
      <c r="W90" s="50">
        <v>2361.92</v>
      </c>
      <c r="X90" s="50">
        <v>996.74</v>
      </c>
      <c r="Y90" s="50">
        <v>1206.4</v>
      </c>
      <c r="Z90" s="50">
        <v>510.64</v>
      </c>
      <c r="AA90" s="50">
        <v>2333.62</v>
      </c>
      <c r="AB90" s="50">
        <v>986.64</v>
      </c>
      <c r="AC90" s="50">
        <v>3441.66</v>
      </c>
      <c r="AD90" s="53">
        <f t="shared" si="41"/>
        <v>21168.09</v>
      </c>
      <c r="AE90" s="50">
        <f t="shared" si="42"/>
        <v>3831.91</v>
      </c>
      <c r="AF90" s="616">
        <f t="shared" si="37"/>
        <v>84.67236</v>
      </c>
    </row>
    <row r="91" spans="2:32" s="34" customFormat="1" ht="15" customHeight="1">
      <c r="B91" s="40"/>
      <c r="C91" s="42"/>
      <c r="D91" s="48">
        <v>4270</v>
      </c>
      <c r="E91" s="49" t="s">
        <v>499</v>
      </c>
      <c r="F91" s="50">
        <v>8000</v>
      </c>
      <c r="G91" s="51"/>
      <c r="H91" s="51"/>
      <c r="I91" s="51"/>
      <c r="J91" s="51">
        <v>10000</v>
      </c>
      <c r="K91" s="51">
        <v>3900</v>
      </c>
      <c r="L91" s="51"/>
      <c r="M91" s="51">
        <f>12000+3320</f>
        <v>15320</v>
      </c>
      <c r="N91" s="51"/>
      <c r="O91" s="51">
        <v>7350</v>
      </c>
      <c r="P91" s="51"/>
      <c r="Q91" s="52">
        <f t="shared" si="40"/>
        <v>44570</v>
      </c>
      <c r="R91" s="50"/>
      <c r="S91" s="50"/>
      <c r="T91" s="50">
        <v>280</v>
      </c>
      <c r="U91" s="50">
        <v>646.6</v>
      </c>
      <c r="V91" s="50"/>
      <c r="W91" s="50"/>
      <c r="X91" s="50">
        <v>333.2</v>
      </c>
      <c r="Y91" s="50"/>
      <c r="Z91" s="50"/>
      <c r="AA91" s="50"/>
      <c r="AB91" s="50">
        <v>7350</v>
      </c>
      <c r="AC91" s="50">
        <v>18285</v>
      </c>
      <c r="AD91" s="53">
        <f t="shared" si="41"/>
        <v>26894.8</v>
      </c>
      <c r="AE91" s="50">
        <f t="shared" si="42"/>
        <v>17675.2</v>
      </c>
      <c r="AF91" s="616">
        <f t="shared" si="37"/>
        <v>60.34283150100965</v>
      </c>
    </row>
    <row r="92" spans="2:32" s="34" customFormat="1" ht="17.25" customHeight="1">
      <c r="B92" s="40"/>
      <c r="C92" s="48"/>
      <c r="D92" s="48">
        <v>4300</v>
      </c>
      <c r="E92" s="49" t="s">
        <v>1203</v>
      </c>
      <c r="F92" s="50">
        <v>10000</v>
      </c>
      <c r="G92" s="51"/>
      <c r="H92" s="51"/>
      <c r="I92" s="51"/>
      <c r="J92" s="51">
        <v>16000</v>
      </c>
      <c r="K92" s="51"/>
      <c r="L92" s="51"/>
      <c r="M92" s="51"/>
      <c r="N92" s="51"/>
      <c r="O92" s="51"/>
      <c r="P92" s="51"/>
      <c r="Q92" s="52">
        <f t="shared" si="40"/>
        <v>26000</v>
      </c>
      <c r="R92" s="50"/>
      <c r="S92" s="50"/>
      <c r="T92" s="50">
        <v>3327.92</v>
      </c>
      <c r="U92" s="50">
        <v>560</v>
      </c>
      <c r="V92" s="50"/>
      <c r="W92" s="50"/>
      <c r="X92" s="50">
        <v>755.64</v>
      </c>
      <c r="Y92" s="50">
        <v>656.3</v>
      </c>
      <c r="Z92" s="50">
        <v>917.49</v>
      </c>
      <c r="AA92" s="50">
        <v>691.5</v>
      </c>
      <c r="AB92" s="50">
        <v>3277.43</v>
      </c>
      <c r="AC92" s="50">
        <v>557</v>
      </c>
      <c r="AD92" s="53">
        <f t="shared" si="41"/>
        <v>10743.28</v>
      </c>
      <c r="AE92" s="50">
        <f t="shared" si="42"/>
        <v>15256.72</v>
      </c>
      <c r="AF92" s="616">
        <f t="shared" si="37"/>
        <v>41.32030769230769</v>
      </c>
    </row>
    <row r="93" spans="2:32" s="34" customFormat="1" ht="12.75">
      <c r="B93" s="40"/>
      <c r="C93" s="48"/>
      <c r="D93" s="48">
        <v>6050</v>
      </c>
      <c r="E93" s="49" t="s">
        <v>1204</v>
      </c>
      <c r="F93" s="50"/>
      <c r="G93" s="51">
        <v>10000</v>
      </c>
      <c r="H93" s="51"/>
      <c r="I93" s="51"/>
      <c r="J93" s="51"/>
      <c r="K93" s="51">
        <v>64646</v>
      </c>
      <c r="L93" s="51"/>
      <c r="M93" s="51"/>
      <c r="N93" s="51"/>
      <c r="O93" s="51">
        <v>16000</v>
      </c>
      <c r="P93" s="51"/>
      <c r="Q93" s="52">
        <f t="shared" si="40"/>
        <v>90646</v>
      </c>
      <c r="R93" s="50">
        <v>366</v>
      </c>
      <c r="S93" s="50">
        <v>11</v>
      </c>
      <c r="T93" s="50"/>
      <c r="U93" s="50">
        <v>1952</v>
      </c>
      <c r="V93" s="50"/>
      <c r="W93" s="50"/>
      <c r="X93" s="50">
        <v>4939.46</v>
      </c>
      <c r="Y93" s="50">
        <v>488</v>
      </c>
      <c r="Z93" s="50">
        <v>174.8</v>
      </c>
      <c r="AA93" s="50">
        <v>2393.2</v>
      </c>
      <c r="AB93" s="50">
        <v>27137.29</v>
      </c>
      <c r="AC93" s="50">
        <v>31756.32</v>
      </c>
      <c r="AD93" s="53">
        <f t="shared" si="41"/>
        <v>69218.07</v>
      </c>
      <c r="AE93" s="50">
        <f t="shared" si="42"/>
        <v>21427.929999999993</v>
      </c>
      <c r="AF93" s="616">
        <f t="shared" si="37"/>
        <v>76.36086534430643</v>
      </c>
    </row>
    <row r="94" spans="2:32" s="34" customFormat="1" ht="25.5">
      <c r="B94" s="40"/>
      <c r="C94" s="48"/>
      <c r="D94" s="48">
        <v>6060</v>
      </c>
      <c r="E94" s="49" t="s">
        <v>396</v>
      </c>
      <c r="F94" s="50"/>
      <c r="G94" s="51">
        <f>22000+4840</f>
        <v>26840</v>
      </c>
      <c r="H94" s="72">
        <v>-5840</v>
      </c>
      <c r="I94" s="51"/>
      <c r="J94" s="51"/>
      <c r="K94" s="51"/>
      <c r="L94" s="51"/>
      <c r="M94" s="51">
        <v>7200</v>
      </c>
      <c r="N94" s="51"/>
      <c r="O94" s="51"/>
      <c r="P94" s="51"/>
      <c r="Q94" s="52">
        <f t="shared" si="40"/>
        <v>28200</v>
      </c>
      <c r="R94" s="50"/>
      <c r="S94" s="50"/>
      <c r="T94" s="50">
        <v>21000</v>
      </c>
      <c r="U94" s="50"/>
      <c r="V94" s="50"/>
      <c r="W94" s="50"/>
      <c r="X94" s="50"/>
      <c r="Y94" s="50"/>
      <c r="Z94" s="50">
        <v>7200</v>
      </c>
      <c r="AA94" s="50"/>
      <c r="AB94" s="50"/>
      <c r="AC94" s="50"/>
      <c r="AD94" s="53">
        <f t="shared" si="41"/>
        <v>28200</v>
      </c>
      <c r="AE94" s="50">
        <f t="shared" si="42"/>
        <v>0</v>
      </c>
      <c r="AF94" s="616">
        <f t="shared" si="37"/>
        <v>100</v>
      </c>
    </row>
    <row r="95" spans="2:32" s="34" customFormat="1" ht="25.5">
      <c r="B95" s="60">
        <v>751</v>
      </c>
      <c r="C95" s="61"/>
      <c r="D95" s="61"/>
      <c r="E95" s="62" t="s">
        <v>500</v>
      </c>
      <c r="F95" s="58">
        <f>F96</f>
        <v>1095</v>
      </c>
      <c r="G95" s="59">
        <f aca="true" t="shared" si="43" ref="G95:L95">G96</f>
        <v>0</v>
      </c>
      <c r="H95" s="59">
        <f t="shared" si="43"/>
        <v>0</v>
      </c>
      <c r="I95" s="59">
        <f t="shared" si="43"/>
        <v>0</v>
      </c>
      <c r="J95" s="59">
        <f t="shared" si="43"/>
        <v>0</v>
      </c>
      <c r="K95" s="59">
        <f t="shared" si="43"/>
        <v>0</v>
      </c>
      <c r="L95" s="59">
        <f t="shared" si="43"/>
        <v>0</v>
      </c>
      <c r="M95" s="59">
        <f>M96+M98</f>
        <v>1990</v>
      </c>
      <c r="N95" s="59">
        <f>N96+N98</f>
        <v>8975</v>
      </c>
      <c r="O95" s="59">
        <f>O96+O98</f>
        <v>0</v>
      </c>
      <c r="P95" s="59">
        <f>P96+P98</f>
        <v>0</v>
      </c>
      <c r="Q95" s="58">
        <f>Q96+Q98</f>
        <v>12060</v>
      </c>
      <c r="R95" s="58">
        <f>R96</f>
        <v>0</v>
      </c>
      <c r="S95" s="58">
        <f aca="true" t="shared" si="44" ref="S95:Y95">S96</f>
        <v>0</v>
      </c>
      <c r="T95" s="58">
        <f t="shared" si="44"/>
        <v>0</v>
      </c>
      <c r="U95" s="58">
        <f t="shared" si="44"/>
        <v>0</v>
      </c>
      <c r="V95" s="58">
        <f t="shared" si="44"/>
        <v>0</v>
      </c>
      <c r="W95" s="58">
        <f t="shared" si="44"/>
        <v>0</v>
      </c>
      <c r="X95" s="58">
        <f t="shared" si="44"/>
        <v>0</v>
      </c>
      <c r="Y95" s="58">
        <f t="shared" si="44"/>
        <v>0</v>
      </c>
      <c r="Z95" s="58">
        <f aca="true" t="shared" si="45" ref="Z95:AE95">Z96+Z98</f>
        <v>0</v>
      </c>
      <c r="AA95" s="58">
        <f t="shared" si="45"/>
        <v>7675.150000000001</v>
      </c>
      <c r="AB95" s="58">
        <f t="shared" si="45"/>
        <v>2489.73</v>
      </c>
      <c r="AC95" s="58">
        <f t="shared" si="45"/>
        <v>1895.12</v>
      </c>
      <c r="AD95" s="58">
        <f t="shared" si="45"/>
        <v>12060</v>
      </c>
      <c r="AE95" s="58">
        <f t="shared" si="45"/>
        <v>1.1368683772161603E-13</v>
      </c>
      <c r="AF95" s="614">
        <f t="shared" si="37"/>
        <v>100</v>
      </c>
    </row>
    <row r="96" spans="2:32" s="76" customFormat="1" ht="25.5">
      <c r="B96" s="40"/>
      <c r="C96" s="74">
        <v>75101</v>
      </c>
      <c r="D96" s="74"/>
      <c r="E96" s="77" t="s">
        <v>501</v>
      </c>
      <c r="F96" s="44">
        <f>SUM(F97:F97)</f>
        <v>1095</v>
      </c>
      <c r="G96" s="45">
        <f aca="true" t="shared" si="46" ref="G96:P96">SUM(G97:G97)</f>
        <v>0</v>
      </c>
      <c r="H96" s="45">
        <f t="shared" si="46"/>
        <v>0</v>
      </c>
      <c r="I96" s="45">
        <f t="shared" si="46"/>
        <v>0</v>
      </c>
      <c r="J96" s="45">
        <f t="shared" si="46"/>
        <v>0</v>
      </c>
      <c r="K96" s="45">
        <f t="shared" si="46"/>
        <v>0</v>
      </c>
      <c r="L96" s="45">
        <f t="shared" si="46"/>
        <v>0</v>
      </c>
      <c r="M96" s="45">
        <f t="shared" si="46"/>
        <v>0</v>
      </c>
      <c r="N96" s="45">
        <f t="shared" si="46"/>
        <v>0</v>
      </c>
      <c r="O96" s="45">
        <f t="shared" si="46"/>
        <v>0</v>
      </c>
      <c r="P96" s="45">
        <f t="shared" si="46"/>
        <v>0</v>
      </c>
      <c r="Q96" s="46">
        <f>SUM(Q97:Q97)</f>
        <v>1095</v>
      </c>
      <c r="R96" s="44">
        <f>SUM(R97:R97)</f>
        <v>0</v>
      </c>
      <c r="S96" s="44">
        <f aca="true" t="shared" si="47" ref="S96:AC96">SUM(S97:S97)</f>
        <v>0</v>
      </c>
      <c r="T96" s="44">
        <f t="shared" si="47"/>
        <v>0</v>
      </c>
      <c r="U96" s="44">
        <f t="shared" si="47"/>
        <v>0</v>
      </c>
      <c r="V96" s="44">
        <f t="shared" si="47"/>
        <v>0</v>
      </c>
      <c r="W96" s="44">
        <f t="shared" si="47"/>
        <v>0</v>
      </c>
      <c r="X96" s="44">
        <f t="shared" si="47"/>
        <v>0</v>
      </c>
      <c r="Y96" s="44">
        <f t="shared" si="47"/>
        <v>0</v>
      </c>
      <c r="Z96" s="44">
        <f t="shared" si="47"/>
        <v>0</v>
      </c>
      <c r="AA96" s="44">
        <f t="shared" si="47"/>
        <v>0</v>
      </c>
      <c r="AB96" s="44">
        <f t="shared" si="47"/>
        <v>0</v>
      </c>
      <c r="AC96" s="44">
        <f t="shared" si="47"/>
        <v>1095</v>
      </c>
      <c r="AD96" s="44">
        <f>SUM(AD97:AD97)</f>
        <v>1095</v>
      </c>
      <c r="AE96" s="44">
        <f>SUM(AE97:AE97)</f>
        <v>0</v>
      </c>
      <c r="AF96" s="620">
        <f t="shared" si="37"/>
        <v>100</v>
      </c>
    </row>
    <row r="97" spans="2:32" s="34" customFormat="1" ht="12.75">
      <c r="B97" s="40"/>
      <c r="C97" s="48"/>
      <c r="D97" s="48">
        <v>4300</v>
      </c>
      <c r="E97" s="49" t="s">
        <v>1203</v>
      </c>
      <c r="F97" s="50">
        <v>1095</v>
      </c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2">
        <f>F97+G97+H97+I97+J97+K97+L97+M97+N97+O97+P97</f>
        <v>1095</v>
      </c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>
        <v>1095</v>
      </c>
      <c r="AD97" s="53">
        <f>SUM(R97:AC97)</f>
        <v>1095</v>
      </c>
      <c r="AE97" s="50">
        <f>Q97-AD97</f>
        <v>0</v>
      </c>
      <c r="AF97" s="616">
        <f t="shared" si="37"/>
        <v>100</v>
      </c>
    </row>
    <row r="98" spans="2:32" s="34" customFormat="1" ht="12.75">
      <c r="B98" s="40"/>
      <c r="C98" s="132">
        <v>75108</v>
      </c>
      <c r="D98" s="56"/>
      <c r="E98" s="133" t="s">
        <v>965</v>
      </c>
      <c r="F98" s="50"/>
      <c r="G98" s="51"/>
      <c r="H98" s="51"/>
      <c r="I98" s="51"/>
      <c r="J98" s="51"/>
      <c r="K98" s="51"/>
      <c r="L98" s="51"/>
      <c r="M98" s="45">
        <f>SUM(M99:M103)</f>
        <v>1990</v>
      </c>
      <c r="N98" s="45">
        <f>SUM(N99:N103)</f>
        <v>8975</v>
      </c>
      <c r="O98" s="45">
        <f>SUM(O99:O103)</f>
        <v>0</v>
      </c>
      <c r="P98" s="45">
        <f>SUM(P99:P103)</f>
        <v>0</v>
      </c>
      <c r="Q98" s="46">
        <f>SUM(Q99:Q103)</f>
        <v>10965</v>
      </c>
      <c r="R98" s="50"/>
      <c r="S98" s="50"/>
      <c r="T98" s="50"/>
      <c r="U98" s="50"/>
      <c r="V98" s="50"/>
      <c r="W98" s="50"/>
      <c r="X98" s="50"/>
      <c r="Y98" s="50"/>
      <c r="Z98" s="44">
        <f aca="true" t="shared" si="48" ref="Z98:AE98">SUM(Z99:Z103)</f>
        <v>0</v>
      </c>
      <c r="AA98" s="44">
        <f>SUM(AA99:AA103)</f>
        <v>7675.150000000001</v>
      </c>
      <c r="AB98" s="44">
        <f t="shared" si="48"/>
        <v>2489.73</v>
      </c>
      <c r="AC98" s="44">
        <f>SUM(AC99:AC103)</f>
        <v>800.12</v>
      </c>
      <c r="AD98" s="44">
        <f t="shared" si="48"/>
        <v>10965</v>
      </c>
      <c r="AE98" s="44">
        <f t="shared" si="48"/>
        <v>1.1368683772161603E-13</v>
      </c>
      <c r="AF98" s="620">
        <f t="shared" si="37"/>
        <v>100</v>
      </c>
    </row>
    <row r="99" spans="2:32" s="34" customFormat="1" ht="12.75">
      <c r="B99" s="40"/>
      <c r="C99" s="48"/>
      <c r="D99" s="48">
        <v>3030</v>
      </c>
      <c r="E99" s="49" t="s">
        <v>1169</v>
      </c>
      <c r="F99" s="50"/>
      <c r="G99" s="51"/>
      <c r="H99" s="51"/>
      <c r="I99" s="51"/>
      <c r="J99" s="51"/>
      <c r="K99" s="51"/>
      <c r="L99" s="51"/>
      <c r="M99" s="51">
        <v>398</v>
      </c>
      <c r="N99" s="51">
        <v>4552</v>
      </c>
      <c r="O99" s="51"/>
      <c r="P99" s="51"/>
      <c r="Q99" s="52">
        <f>F99+G99+H99+I99+J99+K99+L99+M99+N99+O99+P99</f>
        <v>4950</v>
      </c>
      <c r="R99" s="50"/>
      <c r="S99" s="50"/>
      <c r="T99" s="50"/>
      <c r="U99" s="50"/>
      <c r="V99" s="50"/>
      <c r="W99" s="50"/>
      <c r="X99" s="50"/>
      <c r="Y99" s="50"/>
      <c r="Z99" s="50"/>
      <c r="AA99" s="50">
        <v>4950</v>
      </c>
      <c r="AB99" s="50"/>
      <c r="AC99" s="50"/>
      <c r="AD99" s="53">
        <f>SUM(R99:AC99)</f>
        <v>4950</v>
      </c>
      <c r="AE99" s="50">
        <f>Q99-AD99</f>
        <v>0</v>
      </c>
      <c r="AF99" s="616">
        <f t="shared" si="37"/>
        <v>100</v>
      </c>
    </row>
    <row r="100" spans="2:32" s="34" customFormat="1" ht="12.75">
      <c r="B100" s="40"/>
      <c r="C100" s="48"/>
      <c r="D100" s="48">
        <v>4170</v>
      </c>
      <c r="E100" s="49" t="s">
        <v>533</v>
      </c>
      <c r="F100" s="50"/>
      <c r="G100" s="51"/>
      <c r="H100" s="51"/>
      <c r="I100" s="51"/>
      <c r="J100" s="51"/>
      <c r="K100" s="51"/>
      <c r="L100" s="51"/>
      <c r="M100" s="51">
        <v>398</v>
      </c>
      <c r="N100" s="51">
        <v>3117</v>
      </c>
      <c r="O100" s="51">
        <v>526</v>
      </c>
      <c r="P100" s="51"/>
      <c r="Q100" s="52">
        <f>F100+G100+H100+I100+J100+K100+L100+M100+N100+O100+P100</f>
        <v>4041</v>
      </c>
      <c r="R100" s="50"/>
      <c r="S100" s="50"/>
      <c r="T100" s="50"/>
      <c r="U100" s="50"/>
      <c r="V100" s="50"/>
      <c r="W100" s="50"/>
      <c r="X100" s="50"/>
      <c r="Y100" s="50"/>
      <c r="Z100" s="50"/>
      <c r="AA100" s="50">
        <v>1131.68</v>
      </c>
      <c r="AB100" s="50">
        <v>2109.56</v>
      </c>
      <c r="AC100" s="50">
        <v>799.11</v>
      </c>
      <c r="AD100" s="53">
        <f>SUM(R100:AC100)</f>
        <v>4040.35</v>
      </c>
      <c r="AE100" s="50">
        <f>Q100-AD100</f>
        <v>0.650000000000091</v>
      </c>
      <c r="AF100" s="616">
        <f t="shared" si="37"/>
        <v>99.9839148725563</v>
      </c>
    </row>
    <row r="101" spans="2:32" s="34" customFormat="1" ht="12.75">
      <c r="B101" s="40"/>
      <c r="C101" s="48"/>
      <c r="D101" s="48">
        <v>4210</v>
      </c>
      <c r="E101" s="49" t="s">
        <v>1201</v>
      </c>
      <c r="F101" s="50"/>
      <c r="G101" s="51"/>
      <c r="H101" s="51"/>
      <c r="I101" s="51"/>
      <c r="J101" s="51"/>
      <c r="K101" s="51"/>
      <c r="L101" s="51"/>
      <c r="M101" s="51">
        <v>398</v>
      </c>
      <c r="N101" s="51">
        <v>602</v>
      </c>
      <c r="O101" s="72">
        <v>-217</v>
      </c>
      <c r="P101" s="51">
        <v>1</v>
      </c>
      <c r="Q101" s="52">
        <f>F101+G101+H101+I101+J101+K101+L101+M101+N101+O101+P101</f>
        <v>784</v>
      </c>
      <c r="R101" s="50"/>
      <c r="S101" s="50"/>
      <c r="T101" s="50"/>
      <c r="U101" s="50"/>
      <c r="V101" s="50"/>
      <c r="W101" s="50"/>
      <c r="X101" s="50"/>
      <c r="Y101" s="50"/>
      <c r="Z101" s="50"/>
      <c r="AA101" s="50">
        <v>716.55</v>
      </c>
      <c r="AB101" s="50">
        <v>66.33</v>
      </c>
      <c r="AC101" s="50">
        <v>1.01</v>
      </c>
      <c r="AD101" s="53">
        <f>SUM(R101:AC101)</f>
        <v>783.89</v>
      </c>
      <c r="AE101" s="50">
        <f>Q101-AD101</f>
        <v>0.11000000000001364</v>
      </c>
      <c r="AF101" s="616">
        <f t="shared" si="37"/>
        <v>99.9859693877551</v>
      </c>
    </row>
    <row r="102" spans="2:32" s="34" customFormat="1" ht="12.75">
      <c r="B102" s="40"/>
      <c r="C102" s="48"/>
      <c r="D102" s="48">
        <v>4300</v>
      </c>
      <c r="E102" s="49" t="s">
        <v>1203</v>
      </c>
      <c r="F102" s="50"/>
      <c r="G102" s="51"/>
      <c r="H102" s="51"/>
      <c r="I102" s="51"/>
      <c r="J102" s="51"/>
      <c r="K102" s="51"/>
      <c r="L102" s="51"/>
      <c r="M102" s="51">
        <v>398</v>
      </c>
      <c r="N102" s="51">
        <v>602</v>
      </c>
      <c r="O102" s="72">
        <v>-279</v>
      </c>
      <c r="P102" s="72">
        <v>-1</v>
      </c>
      <c r="Q102" s="52">
        <f>F102+G102+H102+I102+J102+K102+L102+M102+N102+O102+P102</f>
        <v>720</v>
      </c>
      <c r="R102" s="50"/>
      <c r="S102" s="50"/>
      <c r="T102" s="50"/>
      <c r="U102" s="50"/>
      <c r="V102" s="50"/>
      <c r="W102" s="50"/>
      <c r="X102" s="50"/>
      <c r="Y102" s="50"/>
      <c r="Z102" s="50"/>
      <c r="AA102" s="50">
        <v>720</v>
      </c>
      <c r="AB102" s="50"/>
      <c r="AC102" s="50"/>
      <c r="AD102" s="53">
        <f>SUM(R102:AC102)</f>
        <v>720</v>
      </c>
      <c r="AE102" s="50">
        <f>Q102-AD102</f>
        <v>0</v>
      </c>
      <c r="AF102" s="616">
        <f t="shared" si="37"/>
        <v>100</v>
      </c>
    </row>
    <row r="103" spans="2:32" s="34" customFormat="1" ht="12.75">
      <c r="B103" s="40"/>
      <c r="C103" s="48"/>
      <c r="D103" s="48">
        <v>4410</v>
      </c>
      <c r="E103" s="49" t="s">
        <v>528</v>
      </c>
      <c r="F103" s="50"/>
      <c r="G103" s="51"/>
      <c r="H103" s="51"/>
      <c r="I103" s="51"/>
      <c r="J103" s="51"/>
      <c r="K103" s="51"/>
      <c r="L103" s="51"/>
      <c r="M103" s="51">
        <v>398</v>
      </c>
      <c r="N103" s="51">
        <v>102</v>
      </c>
      <c r="O103" s="72">
        <v>-30</v>
      </c>
      <c r="P103" s="72"/>
      <c r="Q103" s="52">
        <f>F103+G103+H103+I103+J103+K103+L103+M103+N103+O103+P103</f>
        <v>470</v>
      </c>
      <c r="R103" s="50"/>
      <c r="S103" s="50"/>
      <c r="T103" s="50"/>
      <c r="U103" s="50"/>
      <c r="V103" s="50"/>
      <c r="W103" s="50"/>
      <c r="X103" s="50"/>
      <c r="Y103" s="50"/>
      <c r="Z103" s="50"/>
      <c r="AA103" s="50">
        <v>156.92</v>
      </c>
      <c r="AB103" s="50">
        <v>313.84</v>
      </c>
      <c r="AC103" s="50"/>
      <c r="AD103" s="53">
        <f>SUM(R103:AC103)</f>
        <v>470.76</v>
      </c>
      <c r="AE103" s="72">
        <f>Q103-AD103</f>
        <v>-0.7599999999999909</v>
      </c>
      <c r="AF103" s="616">
        <f t="shared" si="37"/>
        <v>100.16170212765958</v>
      </c>
    </row>
    <row r="104" spans="2:32" s="34" customFormat="1" ht="25.5">
      <c r="B104" s="60">
        <v>754</v>
      </c>
      <c r="C104" s="61"/>
      <c r="D104" s="61"/>
      <c r="E104" s="62" t="s">
        <v>966</v>
      </c>
      <c r="F104" s="58">
        <f>F105+F108+F121</f>
        <v>126180</v>
      </c>
      <c r="G104" s="59">
        <f aca="true" t="shared" si="49" ref="G104:AC104">G105+G108+G121</f>
        <v>0</v>
      </c>
      <c r="H104" s="59">
        <f t="shared" si="49"/>
        <v>0</v>
      </c>
      <c r="I104" s="59">
        <f t="shared" si="49"/>
        <v>0</v>
      </c>
      <c r="J104" s="59">
        <f t="shared" si="49"/>
        <v>800</v>
      </c>
      <c r="K104" s="59">
        <f t="shared" si="49"/>
        <v>0</v>
      </c>
      <c r="L104" s="59">
        <f t="shared" si="49"/>
        <v>0</v>
      </c>
      <c r="M104" s="59">
        <f t="shared" si="49"/>
        <v>30000</v>
      </c>
      <c r="N104" s="59">
        <f t="shared" si="49"/>
        <v>0</v>
      </c>
      <c r="O104" s="59">
        <f t="shared" si="49"/>
        <v>53000</v>
      </c>
      <c r="P104" s="59">
        <f t="shared" si="49"/>
        <v>0</v>
      </c>
      <c r="Q104" s="58">
        <f t="shared" si="49"/>
        <v>209980</v>
      </c>
      <c r="R104" s="58">
        <f t="shared" si="49"/>
        <v>936.37</v>
      </c>
      <c r="S104" s="58">
        <f t="shared" si="49"/>
        <v>6385.47</v>
      </c>
      <c r="T104" s="58">
        <f t="shared" si="49"/>
        <v>7265.38</v>
      </c>
      <c r="U104" s="58">
        <f t="shared" si="49"/>
        <v>9874.16</v>
      </c>
      <c r="V104" s="58">
        <f t="shared" si="49"/>
        <v>4793.710000000001</v>
      </c>
      <c r="W104" s="58">
        <f>W105+W108+W121</f>
        <v>22282.93</v>
      </c>
      <c r="X104" s="58">
        <f t="shared" si="49"/>
        <v>17556.24</v>
      </c>
      <c r="Y104" s="58">
        <f t="shared" si="49"/>
        <v>4681.45</v>
      </c>
      <c r="Z104" s="58">
        <f t="shared" si="49"/>
        <v>2932.69</v>
      </c>
      <c r="AA104" s="58">
        <f t="shared" si="49"/>
        <v>19705.54</v>
      </c>
      <c r="AB104" s="58">
        <f t="shared" si="49"/>
        <v>63271.05</v>
      </c>
      <c r="AC104" s="58">
        <f t="shared" si="49"/>
        <v>12870.41</v>
      </c>
      <c r="AD104" s="58">
        <f>AD105+AD108+AD121</f>
        <v>172555.4</v>
      </c>
      <c r="AE104" s="58">
        <f>AE105+AE108+AE121</f>
        <v>37424.600000000006</v>
      </c>
      <c r="AF104" s="614">
        <f t="shared" si="37"/>
        <v>82.17706448233164</v>
      </c>
    </row>
    <row r="105" spans="2:32" s="34" customFormat="1" ht="27" customHeight="1">
      <c r="B105" s="40"/>
      <c r="C105" s="42">
        <v>75403</v>
      </c>
      <c r="D105" s="42"/>
      <c r="E105" s="43" t="s">
        <v>502</v>
      </c>
      <c r="F105" s="44">
        <f aca="true" t="shared" si="50" ref="F105:AC105">SUM(F106:F106)</f>
        <v>2000</v>
      </c>
      <c r="G105" s="45">
        <f t="shared" si="50"/>
        <v>0</v>
      </c>
      <c r="H105" s="45">
        <f t="shared" si="50"/>
        <v>0</v>
      </c>
      <c r="I105" s="45">
        <f t="shared" si="50"/>
        <v>0</v>
      </c>
      <c r="J105" s="45">
        <f t="shared" si="50"/>
        <v>0</v>
      </c>
      <c r="K105" s="45">
        <f t="shared" si="50"/>
        <v>0</v>
      </c>
      <c r="L105" s="45">
        <f t="shared" si="50"/>
        <v>0</v>
      </c>
      <c r="M105" s="45">
        <f t="shared" si="50"/>
        <v>0</v>
      </c>
      <c r="N105" s="45">
        <f t="shared" si="50"/>
        <v>0</v>
      </c>
      <c r="O105" s="45">
        <f>SUM(O106:O107)</f>
        <v>53000</v>
      </c>
      <c r="P105" s="45">
        <f>SUM(P106:P107)</f>
        <v>0</v>
      </c>
      <c r="Q105" s="46">
        <f>SUM(Q106:Q107)</f>
        <v>55000</v>
      </c>
      <c r="R105" s="44">
        <f t="shared" si="50"/>
        <v>0</v>
      </c>
      <c r="S105" s="44">
        <f t="shared" si="50"/>
        <v>0</v>
      </c>
      <c r="T105" s="44">
        <f t="shared" si="50"/>
        <v>0</v>
      </c>
      <c r="U105" s="44">
        <f t="shared" si="50"/>
        <v>519.38</v>
      </c>
      <c r="V105" s="44">
        <f t="shared" si="50"/>
        <v>621.27</v>
      </c>
      <c r="W105" s="44">
        <f t="shared" si="50"/>
        <v>493.68</v>
      </c>
      <c r="X105" s="44">
        <f t="shared" si="50"/>
        <v>289.74</v>
      </c>
      <c r="Y105" s="44">
        <f t="shared" si="50"/>
        <v>0</v>
      </c>
      <c r="Z105" s="44">
        <f t="shared" si="50"/>
        <v>75.93</v>
      </c>
      <c r="AA105" s="44">
        <f t="shared" si="50"/>
        <v>0</v>
      </c>
      <c r="AB105" s="44">
        <f>SUM(AB106:AB107)</f>
        <v>53000</v>
      </c>
      <c r="AC105" s="44">
        <f t="shared" si="50"/>
        <v>0</v>
      </c>
      <c r="AD105" s="44">
        <f>SUM(AD106:AD107)</f>
        <v>55000</v>
      </c>
      <c r="AE105" s="44">
        <f>SUM(AE106:AE107)</f>
        <v>0</v>
      </c>
      <c r="AF105" s="615">
        <f t="shared" si="37"/>
        <v>100</v>
      </c>
    </row>
    <row r="106" spans="2:32" s="34" customFormat="1" ht="12.75">
      <c r="B106" s="40"/>
      <c r="C106" s="48"/>
      <c r="D106" s="48">
        <v>4210</v>
      </c>
      <c r="E106" s="49" t="s">
        <v>1201</v>
      </c>
      <c r="F106" s="50">
        <v>2000</v>
      </c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2">
        <f>F106+G106+H106+I106+J106+K106+L106+M106+N106+O106+P106</f>
        <v>2000</v>
      </c>
      <c r="R106" s="50"/>
      <c r="S106" s="50"/>
      <c r="T106" s="50"/>
      <c r="U106" s="50">
        <v>519.38</v>
      </c>
      <c r="V106" s="50">
        <v>621.27</v>
      </c>
      <c r="W106" s="50">
        <f>719.5-225.82</f>
        <v>493.68</v>
      </c>
      <c r="X106" s="50">
        <v>289.74</v>
      </c>
      <c r="Y106" s="50"/>
      <c r="Z106" s="50">
        <v>75.93</v>
      </c>
      <c r="AA106" s="50"/>
      <c r="AB106" s="50"/>
      <c r="AC106" s="50"/>
      <c r="AD106" s="53">
        <f>SUM(R106:AC106)</f>
        <v>2000.0000000000002</v>
      </c>
      <c r="AE106" s="50">
        <f>Q106-AD106</f>
        <v>0</v>
      </c>
      <c r="AF106" s="616">
        <f t="shared" si="37"/>
        <v>100.00000000000001</v>
      </c>
    </row>
    <row r="107" spans="2:32" s="34" customFormat="1" ht="25.5">
      <c r="B107" s="40"/>
      <c r="C107" s="48"/>
      <c r="D107" s="48">
        <v>6060</v>
      </c>
      <c r="E107" s="49" t="s">
        <v>396</v>
      </c>
      <c r="F107" s="50"/>
      <c r="G107" s="51"/>
      <c r="H107" s="51"/>
      <c r="I107" s="51"/>
      <c r="J107" s="51"/>
      <c r="K107" s="51"/>
      <c r="L107" s="51"/>
      <c r="M107" s="51"/>
      <c r="N107" s="51"/>
      <c r="O107" s="51">
        <v>53000</v>
      </c>
      <c r="P107" s="51"/>
      <c r="Q107" s="52">
        <f>F107+G107+H107+I107+J107+K107+L107+M107+N107+O107+P107</f>
        <v>53000</v>
      </c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>
        <v>53000</v>
      </c>
      <c r="AC107" s="50"/>
      <c r="AD107" s="53">
        <f>SUM(R107:AC107)</f>
        <v>53000</v>
      </c>
      <c r="AE107" s="50">
        <f>Q107-AD107</f>
        <v>0</v>
      </c>
      <c r="AF107" s="616">
        <f t="shared" si="37"/>
        <v>100</v>
      </c>
    </row>
    <row r="108" spans="2:32" s="34" customFormat="1" ht="12.75">
      <c r="B108" s="40"/>
      <c r="C108" s="42">
        <v>75412</v>
      </c>
      <c r="D108" s="42"/>
      <c r="E108" s="43" t="s">
        <v>503</v>
      </c>
      <c r="F108" s="44">
        <f>SUM(F109:F119)</f>
        <v>119180</v>
      </c>
      <c r="G108" s="45">
        <f aca="true" t="shared" si="51" ref="G108:L108">SUM(G109:G119)</f>
        <v>0</v>
      </c>
      <c r="H108" s="45">
        <f t="shared" si="51"/>
        <v>0</v>
      </c>
      <c r="I108" s="45">
        <f t="shared" si="51"/>
        <v>0</v>
      </c>
      <c r="J108" s="45">
        <f t="shared" si="51"/>
        <v>0</v>
      </c>
      <c r="K108" s="45">
        <f t="shared" si="51"/>
        <v>0</v>
      </c>
      <c r="L108" s="45">
        <f t="shared" si="51"/>
        <v>0</v>
      </c>
      <c r="M108" s="45">
        <f>SUM(M109:M119)</f>
        <v>30000</v>
      </c>
      <c r="N108" s="45">
        <f>SUM(N109:N119)</f>
        <v>0</v>
      </c>
      <c r="O108" s="45">
        <f>SUM(O109:O119)</f>
        <v>0</v>
      </c>
      <c r="P108" s="45">
        <f>SUM(P109:P119)</f>
        <v>0</v>
      </c>
      <c r="Q108" s="46">
        <f>SUM(Q109:Q120)</f>
        <v>149180</v>
      </c>
      <c r="R108" s="44">
        <f>SUM(R109:R119)</f>
        <v>936.37</v>
      </c>
      <c r="S108" s="44">
        <f aca="true" t="shared" si="52" ref="S108:AB108">SUM(S109:S119)</f>
        <v>6385.47</v>
      </c>
      <c r="T108" s="44">
        <f t="shared" si="52"/>
        <v>7265.38</v>
      </c>
      <c r="U108" s="44">
        <f t="shared" si="52"/>
        <v>9354.78</v>
      </c>
      <c r="V108" s="44">
        <f t="shared" si="52"/>
        <v>4172.4400000000005</v>
      </c>
      <c r="W108" s="44">
        <f>SUM(W109:W119)</f>
        <v>17006.85</v>
      </c>
      <c r="X108" s="44">
        <f t="shared" si="52"/>
        <v>17266.5</v>
      </c>
      <c r="Y108" s="44">
        <f>SUM(Y109:Y119)</f>
        <v>4681.45</v>
      </c>
      <c r="Z108" s="44">
        <f t="shared" si="52"/>
        <v>2856.76</v>
      </c>
      <c r="AA108" s="44">
        <f>SUM(AA109:AA119)</f>
        <v>19705.54</v>
      </c>
      <c r="AB108" s="44">
        <f t="shared" si="52"/>
        <v>10271.05</v>
      </c>
      <c r="AC108" s="44">
        <f>SUM(AC109:AC119)</f>
        <v>12870.41</v>
      </c>
      <c r="AD108" s="44">
        <f>SUM(AD109:AD120)</f>
        <v>112773</v>
      </c>
      <c r="AE108" s="44">
        <f>SUM(AE109:AE120)</f>
        <v>36407.00000000001</v>
      </c>
      <c r="AF108" s="615">
        <f t="shared" si="37"/>
        <v>75.59525405550342</v>
      </c>
    </row>
    <row r="109" spans="2:32" s="34" customFormat="1" ht="51">
      <c r="B109" s="40"/>
      <c r="C109" s="42"/>
      <c r="D109" s="48">
        <v>6230</v>
      </c>
      <c r="E109" s="49" t="s">
        <v>504</v>
      </c>
      <c r="F109" s="50">
        <v>10000</v>
      </c>
      <c r="G109" s="51"/>
      <c r="H109" s="51"/>
      <c r="I109" s="51"/>
      <c r="J109" s="51"/>
      <c r="K109" s="72">
        <v>-2000</v>
      </c>
      <c r="L109" s="51"/>
      <c r="M109" s="51"/>
      <c r="N109" s="51"/>
      <c r="O109" s="51"/>
      <c r="P109" s="51"/>
      <c r="Q109" s="52">
        <f aca="true" t="shared" si="53" ref="Q109:Q119">F109+G109+H109+I109+J109+K109+L109+M109+N109+O109+P109</f>
        <v>8000</v>
      </c>
      <c r="R109" s="50"/>
      <c r="S109" s="50"/>
      <c r="T109" s="50"/>
      <c r="U109" s="50"/>
      <c r="V109" s="50"/>
      <c r="W109" s="50">
        <v>1364</v>
      </c>
      <c r="X109" s="50">
        <v>3663.04</v>
      </c>
      <c r="Y109" s="50"/>
      <c r="Z109" s="50"/>
      <c r="AA109" s="50">
        <v>2430.02</v>
      </c>
      <c r="AB109" s="50"/>
      <c r="AC109" s="50"/>
      <c r="AD109" s="53">
        <f aca="true" t="shared" si="54" ref="AD109:AD120">SUM(R109:AC109)</f>
        <v>7457.0599999999995</v>
      </c>
      <c r="AE109" s="50">
        <f aca="true" t="shared" si="55" ref="AE109:AE120">Q109-AD109</f>
        <v>542.9400000000005</v>
      </c>
      <c r="AF109" s="616">
        <f t="shared" si="37"/>
        <v>93.21325</v>
      </c>
    </row>
    <row r="110" spans="2:32" s="34" customFormat="1" ht="12.75">
      <c r="B110" s="40"/>
      <c r="C110" s="48"/>
      <c r="D110" s="48">
        <v>3030</v>
      </c>
      <c r="E110" s="49" t="s">
        <v>1169</v>
      </c>
      <c r="F110" s="50">
        <v>31000</v>
      </c>
      <c r="G110" s="51"/>
      <c r="H110" s="51"/>
      <c r="I110" s="51"/>
      <c r="J110" s="51"/>
      <c r="K110" s="72">
        <v>-5000</v>
      </c>
      <c r="L110" s="51"/>
      <c r="M110" s="51"/>
      <c r="N110" s="51"/>
      <c r="O110" s="51"/>
      <c r="P110" s="51"/>
      <c r="Q110" s="52">
        <f t="shared" si="53"/>
        <v>26000</v>
      </c>
      <c r="R110" s="50"/>
      <c r="S110" s="50"/>
      <c r="T110" s="50"/>
      <c r="U110" s="50">
        <f>5975.1-21.6</f>
        <v>5953.5</v>
      </c>
      <c r="V110" s="50"/>
      <c r="W110" s="50"/>
      <c r="X110" s="50">
        <v>4353.75</v>
      </c>
      <c r="Y110" s="50"/>
      <c r="Z110" s="50"/>
      <c r="AA110" s="50">
        <v>5870.25</v>
      </c>
      <c r="AB110" s="50"/>
      <c r="AC110" s="50">
        <v>3649.5</v>
      </c>
      <c r="AD110" s="53">
        <f t="shared" si="54"/>
        <v>19827</v>
      </c>
      <c r="AE110" s="50">
        <f t="shared" si="55"/>
        <v>6173</v>
      </c>
      <c r="AF110" s="616">
        <f t="shared" si="37"/>
        <v>76.25769230769231</v>
      </c>
    </row>
    <row r="111" spans="2:32" s="34" customFormat="1" ht="12.75">
      <c r="B111" s="40"/>
      <c r="C111" s="48"/>
      <c r="D111" s="48">
        <v>4170</v>
      </c>
      <c r="E111" s="49" t="s">
        <v>533</v>
      </c>
      <c r="F111" s="50">
        <v>2880</v>
      </c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2">
        <f t="shared" si="53"/>
        <v>2880</v>
      </c>
      <c r="R111" s="50">
        <v>239.4</v>
      </c>
      <c r="S111" s="50">
        <v>240</v>
      </c>
      <c r="T111" s="50">
        <v>240</v>
      </c>
      <c r="U111" s="50">
        <f>218.4+21.6</f>
        <v>240</v>
      </c>
      <c r="V111" s="50">
        <v>240</v>
      </c>
      <c r="W111" s="50">
        <v>240</v>
      </c>
      <c r="X111" s="50">
        <v>240</v>
      </c>
      <c r="Y111" s="50">
        <v>240</v>
      </c>
      <c r="Z111" s="50">
        <v>240</v>
      </c>
      <c r="AA111" s="50">
        <v>240</v>
      </c>
      <c r="AB111" s="50">
        <v>240</v>
      </c>
      <c r="AC111" s="50">
        <v>240</v>
      </c>
      <c r="AD111" s="53">
        <f t="shared" si="54"/>
        <v>2879.4</v>
      </c>
      <c r="AE111" s="50">
        <f t="shared" si="55"/>
        <v>0.599999999999909</v>
      </c>
      <c r="AF111" s="616">
        <f t="shared" si="37"/>
        <v>99.97916666666667</v>
      </c>
    </row>
    <row r="112" spans="2:32" s="34" customFormat="1" ht="12.75">
      <c r="B112" s="40"/>
      <c r="C112" s="48"/>
      <c r="D112" s="48">
        <v>4210</v>
      </c>
      <c r="E112" s="49" t="s">
        <v>1201</v>
      </c>
      <c r="F112" s="50">
        <v>35000</v>
      </c>
      <c r="G112" s="51"/>
      <c r="H112" s="51"/>
      <c r="I112" s="51"/>
      <c r="J112" s="51"/>
      <c r="K112" s="51"/>
      <c r="L112" s="51"/>
      <c r="M112" s="51">
        <v>20000</v>
      </c>
      <c r="N112" s="51"/>
      <c r="O112" s="72">
        <v>-6000</v>
      </c>
      <c r="P112" s="72">
        <v>-2500</v>
      </c>
      <c r="Q112" s="52">
        <f t="shared" si="53"/>
        <v>46500</v>
      </c>
      <c r="R112" s="50">
        <v>511.97</v>
      </c>
      <c r="S112" s="50">
        <v>4119.47</v>
      </c>
      <c r="T112" s="50">
        <v>1666.51</v>
      </c>
      <c r="U112" s="50">
        <v>1789.46</v>
      </c>
      <c r="V112" s="50">
        <f>3131.04-300</f>
        <v>2831.04</v>
      </c>
      <c r="W112" s="50">
        <f>8217.68+225.82</f>
        <v>8443.5</v>
      </c>
      <c r="X112" s="50">
        <v>2241.94</v>
      </c>
      <c r="Y112" s="50">
        <v>2145.64</v>
      </c>
      <c r="Z112" s="50">
        <v>1490.96</v>
      </c>
      <c r="AA112" s="50">
        <v>2301.95</v>
      </c>
      <c r="AB112" s="50">
        <v>474.87</v>
      </c>
      <c r="AC112" s="50">
        <v>3039.06</v>
      </c>
      <c r="AD112" s="53">
        <f t="shared" si="54"/>
        <v>31056.37</v>
      </c>
      <c r="AE112" s="50">
        <f t="shared" si="55"/>
        <v>15443.630000000001</v>
      </c>
      <c r="AF112" s="616">
        <f t="shared" si="37"/>
        <v>66.78789247311828</v>
      </c>
    </row>
    <row r="113" spans="2:32" s="34" customFormat="1" ht="14.25" customHeight="1">
      <c r="B113" s="40"/>
      <c r="C113" s="48"/>
      <c r="D113" s="48">
        <v>4260</v>
      </c>
      <c r="E113" s="49" t="s">
        <v>527</v>
      </c>
      <c r="F113" s="50">
        <v>10000</v>
      </c>
      <c r="G113" s="51"/>
      <c r="H113" s="51"/>
      <c r="I113" s="51"/>
      <c r="J113" s="51"/>
      <c r="K113" s="51"/>
      <c r="L113" s="72">
        <v>-3000</v>
      </c>
      <c r="M113" s="51"/>
      <c r="N113" s="51"/>
      <c r="O113" s="51">
        <v>6000</v>
      </c>
      <c r="P113" s="51"/>
      <c r="Q113" s="52">
        <f t="shared" si="53"/>
        <v>13000</v>
      </c>
      <c r="R113" s="50"/>
      <c r="S113" s="50">
        <v>1294</v>
      </c>
      <c r="T113" s="50">
        <v>770.24</v>
      </c>
      <c r="U113" s="50">
        <v>193.51</v>
      </c>
      <c r="V113" s="50">
        <v>305</v>
      </c>
      <c r="W113" s="50">
        <v>3530.84</v>
      </c>
      <c r="X113" s="72">
        <v>-2992.37</v>
      </c>
      <c r="Y113" s="50">
        <v>144.39</v>
      </c>
      <c r="Z113" s="50">
        <v>122</v>
      </c>
      <c r="AA113" s="50">
        <v>330.02</v>
      </c>
      <c r="AB113" s="50">
        <v>6013.15</v>
      </c>
      <c r="AC113" s="50">
        <v>842.73</v>
      </c>
      <c r="AD113" s="53">
        <f t="shared" si="54"/>
        <v>10553.509999999998</v>
      </c>
      <c r="AE113" s="50">
        <f t="shared" si="55"/>
        <v>2446.4900000000016</v>
      </c>
      <c r="AF113" s="616">
        <f t="shared" si="37"/>
        <v>81.18084615384613</v>
      </c>
    </row>
    <row r="114" spans="2:32" s="34" customFormat="1" ht="12.75">
      <c r="B114" s="40"/>
      <c r="C114" s="48"/>
      <c r="D114" s="48">
        <v>4270</v>
      </c>
      <c r="E114" s="49" t="s">
        <v>499</v>
      </c>
      <c r="F114" s="50">
        <v>10000</v>
      </c>
      <c r="G114" s="51"/>
      <c r="H114" s="51"/>
      <c r="I114" s="51"/>
      <c r="J114" s="51"/>
      <c r="K114" s="51">
        <v>7000</v>
      </c>
      <c r="L114" s="51"/>
      <c r="M114" s="51">
        <v>5000</v>
      </c>
      <c r="N114" s="51"/>
      <c r="O114" s="51"/>
      <c r="P114" s="51">
        <v>2500</v>
      </c>
      <c r="Q114" s="52">
        <f t="shared" si="53"/>
        <v>24500</v>
      </c>
      <c r="R114" s="50"/>
      <c r="S114" s="50">
        <v>377</v>
      </c>
      <c r="T114" s="50">
        <v>4175.63</v>
      </c>
      <c r="U114" s="50">
        <v>1098</v>
      </c>
      <c r="V114" s="50">
        <v>146.4</v>
      </c>
      <c r="W114" s="50">
        <v>1623.33</v>
      </c>
      <c r="X114" s="50">
        <v>3486.7</v>
      </c>
      <c r="Y114" s="50">
        <v>1546.42</v>
      </c>
      <c r="Z114" s="50">
        <v>109.8</v>
      </c>
      <c r="AA114" s="50">
        <v>6832</v>
      </c>
      <c r="AB114" s="50"/>
      <c r="AC114" s="50">
        <v>5099.12</v>
      </c>
      <c r="AD114" s="53">
        <f t="shared" si="54"/>
        <v>24494.399999999998</v>
      </c>
      <c r="AE114" s="72">
        <f t="shared" si="55"/>
        <v>5.600000000002183</v>
      </c>
      <c r="AF114" s="616">
        <f t="shared" si="37"/>
        <v>99.97714285714285</v>
      </c>
    </row>
    <row r="115" spans="2:32" s="34" customFormat="1" ht="12.75">
      <c r="B115" s="40"/>
      <c r="C115" s="48"/>
      <c r="D115" s="48">
        <v>4280</v>
      </c>
      <c r="E115" s="49" t="s">
        <v>534</v>
      </c>
      <c r="F115" s="50">
        <v>1800</v>
      </c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2">
        <f t="shared" si="53"/>
        <v>1800</v>
      </c>
      <c r="R115" s="50">
        <v>185</v>
      </c>
      <c r="S115" s="50">
        <v>100</v>
      </c>
      <c r="T115" s="50">
        <v>185</v>
      </c>
      <c r="U115" s="50"/>
      <c r="V115" s="50"/>
      <c r="W115" s="50"/>
      <c r="X115" s="50">
        <v>625</v>
      </c>
      <c r="Y115" s="50"/>
      <c r="Z115" s="50"/>
      <c r="AA115" s="50"/>
      <c r="AB115" s="50">
        <v>200</v>
      </c>
      <c r="AC115" s="50"/>
      <c r="AD115" s="53">
        <f>SUM(R115:AC115)</f>
        <v>1295</v>
      </c>
      <c r="AE115" s="50">
        <f>Q115-AD115</f>
        <v>505</v>
      </c>
      <c r="AF115" s="616">
        <f>AD115*100/Q115</f>
        <v>71.94444444444444</v>
      </c>
    </row>
    <row r="116" spans="2:32" s="34" customFormat="1" ht="15.75" customHeight="1">
      <c r="B116" s="40"/>
      <c r="C116" s="48"/>
      <c r="D116" s="48">
        <v>4300</v>
      </c>
      <c r="E116" s="49" t="s">
        <v>1203</v>
      </c>
      <c r="F116" s="50">
        <v>3800</v>
      </c>
      <c r="G116" s="51"/>
      <c r="H116" s="51"/>
      <c r="I116" s="51"/>
      <c r="J116" s="51"/>
      <c r="K116" s="51"/>
      <c r="L116" s="51">
        <v>3000</v>
      </c>
      <c r="M116" s="51">
        <v>5000</v>
      </c>
      <c r="N116" s="51"/>
      <c r="O116" s="51"/>
      <c r="P116" s="51"/>
      <c r="Q116" s="52">
        <f t="shared" si="53"/>
        <v>11800</v>
      </c>
      <c r="R116" s="50"/>
      <c r="S116" s="50">
        <v>205</v>
      </c>
      <c r="T116" s="50">
        <v>228</v>
      </c>
      <c r="U116" s="50">
        <v>30.31</v>
      </c>
      <c r="V116" s="50">
        <f>350+300</f>
        <v>650</v>
      </c>
      <c r="W116" s="50">
        <v>1460.18</v>
      </c>
      <c r="X116" s="50">
        <v>2960.44</v>
      </c>
      <c r="Y116" s="50">
        <v>155</v>
      </c>
      <c r="Z116" s="50"/>
      <c r="AA116" s="50">
        <v>907.3</v>
      </c>
      <c r="AB116" s="50">
        <v>2748.57</v>
      </c>
      <c r="AC116" s="50"/>
      <c r="AD116" s="53">
        <f t="shared" si="54"/>
        <v>9344.800000000001</v>
      </c>
      <c r="AE116" s="50">
        <f t="shared" si="55"/>
        <v>2455.199999999999</v>
      </c>
      <c r="AF116" s="616">
        <f t="shared" si="37"/>
        <v>79.19322033898307</v>
      </c>
    </row>
    <row r="117" spans="2:32" s="34" customFormat="1" ht="25.5">
      <c r="B117" s="40"/>
      <c r="C117" s="48"/>
      <c r="D117" s="48">
        <v>4360</v>
      </c>
      <c r="E117" s="49" t="s">
        <v>536</v>
      </c>
      <c r="F117" s="50">
        <v>200</v>
      </c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2">
        <f t="shared" si="53"/>
        <v>200</v>
      </c>
      <c r="R117" s="50"/>
      <c r="S117" s="50">
        <v>50</v>
      </c>
      <c r="T117" s="50"/>
      <c r="U117" s="50">
        <v>50</v>
      </c>
      <c r="V117" s="50"/>
      <c r="W117" s="50"/>
      <c r="X117" s="50">
        <v>50</v>
      </c>
      <c r="Y117" s="50"/>
      <c r="Z117" s="50"/>
      <c r="AA117" s="50">
        <v>50</v>
      </c>
      <c r="AB117" s="50"/>
      <c r="AC117" s="50"/>
      <c r="AD117" s="53">
        <f t="shared" si="54"/>
        <v>200</v>
      </c>
      <c r="AE117" s="50">
        <f t="shared" si="55"/>
        <v>0</v>
      </c>
      <c r="AF117" s="616">
        <f t="shared" si="37"/>
        <v>100</v>
      </c>
    </row>
    <row r="118" spans="2:32" s="34" customFormat="1" ht="12.75">
      <c r="B118" s="40"/>
      <c r="C118" s="48"/>
      <c r="D118" s="48">
        <v>4410</v>
      </c>
      <c r="E118" s="49" t="s">
        <v>528</v>
      </c>
      <c r="F118" s="50">
        <v>500</v>
      </c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2">
        <f t="shared" si="53"/>
        <v>500</v>
      </c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>
        <v>129.46</v>
      </c>
      <c r="AC118" s="50"/>
      <c r="AD118" s="53">
        <f t="shared" si="54"/>
        <v>129.46</v>
      </c>
      <c r="AE118" s="50">
        <f t="shared" si="55"/>
        <v>370.53999999999996</v>
      </c>
      <c r="AF118" s="616">
        <f t="shared" si="37"/>
        <v>25.892</v>
      </c>
    </row>
    <row r="119" spans="2:32" s="34" customFormat="1" ht="14.25" customHeight="1">
      <c r="B119" s="40"/>
      <c r="C119" s="48"/>
      <c r="D119" s="48">
        <v>4430</v>
      </c>
      <c r="E119" s="49" t="s">
        <v>1210</v>
      </c>
      <c r="F119" s="50">
        <v>14000</v>
      </c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2">
        <f t="shared" si="53"/>
        <v>14000</v>
      </c>
      <c r="R119" s="50"/>
      <c r="S119" s="50"/>
      <c r="T119" s="50"/>
      <c r="U119" s="50"/>
      <c r="V119" s="50"/>
      <c r="W119" s="50">
        <v>345</v>
      </c>
      <c r="X119" s="50">
        <v>2638</v>
      </c>
      <c r="Y119" s="50">
        <v>450</v>
      </c>
      <c r="Z119" s="50">
        <v>894</v>
      </c>
      <c r="AA119" s="50">
        <v>744</v>
      </c>
      <c r="AB119" s="50">
        <v>465</v>
      </c>
      <c r="AC119" s="50"/>
      <c r="AD119" s="53">
        <f t="shared" si="54"/>
        <v>5536</v>
      </c>
      <c r="AE119" s="50">
        <f t="shared" si="55"/>
        <v>8464</v>
      </c>
      <c r="AF119" s="616">
        <f t="shared" si="37"/>
        <v>39.542857142857144</v>
      </c>
    </row>
    <row r="120" spans="2:32" s="34" customFormat="1" ht="12.75" hidden="1">
      <c r="B120" s="40"/>
      <c r="C120" s="48"/>
      <c r="D120" s="48">
        <v>6050</v>
      </c>
      <c r="E120" s="49" t="s">
        <v>1204</v>
      </c>
      <c r="F120" s="5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2">
        <f>F120+G120+H120+I120+J120+K120+L120</f>
        <v>0</v>
      </c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3">
        <f t="shared" si="54"/>
        <v>0</v>
      </c>
      <c r="AE120" s="50">
        <f t="shared" si="55"/>
        <v>0</v>
      </c>
      <c r="AF120" s="616" t="e">
        <f t="shared" si="37"/>
        <v>#DIV/0!</v>
      </c>
    </row>
    <row r="121" spans="2:32" s="34" customFormat="1" ht="12.75">
      <c r="B121" s="40"/>
      <c r="C121" s="42">
        <v>75414</v>
      </c>
      <c r="D121" s="42"/>
      <c r="E121" s="43" t="s">
        <v>967</v>
      </c>
      <c r="F121" s="44">
        <f>SUM(F122:F125)</f>
        <v>5000</v>
      </c>
      <c r="G121" s="45">
        <f aca="true" t="shared" si="56" ref="G121:AC121">SUM(G122:G125)</f>
        <v>0</v>
      </c>
      <c r="H121" s="45">
        <f t="shared" si="56"/>
        <v>0</v>
      </c>
      <c r="I121" s="45">
        <f t="shared" si="56"/>
        <v>0</v>
      </c>
      <c r="J121" s="45">
        <f t="shared" si="56"/>
        <v>800</v>
      </c>
      <c r="K121" s="45">
        <f t="shared" si="56"/>
        <v>0</v>
      </c>
      <c r="L121" s="45">
        <f t="shared" si="56"/>
        <v>0</v>
      </c>
      <c r="M121" s="45">
        <f t="shared" si="56"/>
        <v>0</v>
      </c>
      <c r="N121" s="45">
        <f t="shared" si="56"/>
        <v>0</v>
      </c>
      <c r="O121" s="45">
        <f t="shared" si="56"/>
        <v>0</v>
      </c>
      <c r="P121" s="45">
        <f t="shared" si="56"/>
        <v>0</v>
      </c>
      <c r="Q121" s="46">
        <f t="shared" si="56"/>
        <v>5800</v>
      </c>
      <c r="R121" s="44">
        <f t="shared" si="56"/>
        <v>0</v>
      </c>
      <c r="S121" s="44">
        <f t="shared" si="56"/>
        <v>0</v>
      </c>
      <c r="T121" s="44">
        <f t="shared" si="56"/>
        <v>0</v>
      </c>
      <c r="U121" s="44">
        <f t="shared" si="56"/>
        <v>0</v>
      </c>
      <c r="V121" s="44">
        <f t="shared" si="56"/>
        <v>0</v>
      </c>
      <c r="W121" s="44">
        <f t="shared" si="56"/>
        <v>4782.4</v>
      </c>
      <c r="X121" s="44">
        <f t="shared" si="56"/>
        <v>0</v>
      </c>
      <c r="Y121" s="44">
        <f t="shared" si="56"/>
        <v>0</v>
      </c>
      <c r="Z121" s="44">
        <f t="shared" si="56"/>
        <v>0</v>
      </c>
      <c r="AA121" s="44">
        <f t="shared" si="56"/>
        <v>0</v>
      </c>
      <c r="AB121" s="44">
        <f t="shared" si="56"/>
        <v>0</v>
      </c>
      <c r="AC121" s="44">
        <f t="shared" si="56"/>
        <v>0</v>
      </c>
      <c r="AD121" s="44">
        <f>SUM(AD122:AD125)</f>
        <v>4782.4</v>
      </c>
      <c r="AE121" s="44">
        <f>SUM(AE122:AE125)</f>
        <v>1017.6000000000004</v>
      </c>
      <c r="AF121" s="615">
        <f t="shared" si="37"/>
        <v>82.4551724137931</v>
      </c>
    </row>
    <row r="122" spans="2:32" s="34" customFormat="1" ht="12.75" customHeight="1">
      <c r="B122" s="40"/>
      <c r="C122" s="48"/>
      <c r="D122" s="48">
        <v>4170</v>
      </c>
      <c r="E122" s="49" t="s">
        <v>533</v>
      </c>
      <c r="F122" s="50">
        <v>400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2">
        <f>F122+G122+H122+I122+J122+K122+L122+M122+N122+O122+P122</f>
        <v>400</v>
      </c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3">
        <f>SUM(R122:AC122)</f>
        <v>0</v>
      </c>
      <c r="AE122" s="50">
        <f>Q122-AD122</f>
        <v>400</v>
      </c>
      <c r="AF122" s="616">
        <f t="shared" si="37"/>
        <v>0</v>
      </c>
    </row>
    <row r="123" spans="2:32" s="34" customFormat="1" ht="12.75">
      <c r="B123" s="40"/>
      <c r="C123" s="48"/>
      <c r="D123" s="48">
        <v>4210</v>
      </c>
      <c r="E123" s="49" t="s">
        <v>1201</v>
      </c>
      <c r="F123" s="50">
        <v>4000</v>
      </c>
      <c r="G123" s="51"/>
      <c r="H123" s="51"/>
      <c r="I123" s="51"/>
      <c r="J123" s="51">
        <v>800</v>
      </c>
      <c r="K123" s="51"/>
      <c r="L123" s="51"/>
      <c r="M123" s="51"/>
      <c r="N123" s="51"/>
      <c r="O123" s="51"/>
      <c r="P123" s="51"/>
      <c r="Q123" s="52">
        <f>F123+G123+H123+I123+J123+K123+L123+M123+N123+O123+P123</f>
        <v>4800</v>
      </c>
      <c r="R123" s="50"/>
      <c r="S123" s="50"/>
      <c r="T123" s="50"/>
      <c r="U123" s="50"/>
      <c r="V123" s="50"/>
      <c r="W123" s="50">
        <v>4782.4</v>
      </c>
      <c r="X123" s="50"/>
      <c r="Y123" s="50"/>
      <c r="Z123" s="50"/>
      <c r="AA123" s="50"/>
      <c r="AB123" s="50"/>
      <c r="AC123" s="50"/>
      <c r="AD123" s="53">
        <f>SUM(R123:AC123)</f>
        <v>4782.4</v>
      </c>
      <c r="AE123" s="50">
        <f>Q123-AD123</f>
        <v>17.600000000000364</v>
      </c>
      <c r="AF123" s="616">
        <f t="shared" si="37"/>
        <v>99.63333333333333</v>
      </c>
    </row>
    <row r="124" spans="2:32" s="34" customFormat="1" ht="12.75">
      <c r="B124" s="40"/>
      <c r="C124" s="48"/>
      <c r="D124" s="48">
        <v>4300</v>
      </c>
      <c r="E124" s="49" t="s">
        <v>1203</v>
      </c>
      <c r="F124" s="50">
        <v>500</v>
      </c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2">
        <f>F124+G124+H124+I124+J124+K124+L124+M124+N124+O124+P124</f>
        <v>500</v>
      </c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3">
        <f>SUM(R124:AC124)</f>
        <v>0</v>
      </c>
      <c r="AE124" s="50">
        <f>Q124-AD124</f>
        <v>500</v>
      </c>
      <c r="AF124" s="616">
        <f t="shared" si="37"/>
        <v>0</v>
      </c>
    </row>
    <row r="125" spans="2:32" s="34" customFormat="1" ht="12.75">
      <c r="B125" s="40"/>
      <c r="C125" s="48"/>
      <c r="D125" s="48">
        <v>4410</v>
      </c>
      <c r="E125" s="49" t="s">
        <v>528</v>
      </c>
      <c r="F125" s="50">
        <v>100</v>
      </c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2">
        <f>F125+G125+H125+I125+J125+K125+L125+M125+N125+O125+P125</f>
        <v>100</v>
      </c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3">
        <f>SUM(R125:AC125)</f>
        <v>0</v>
      </c>
      <c r="AE125" s="50">
        <f>Q125-AD125</f>
        <v>100</v>
      </c>
      <c r="AF125" s="616">
        <f t="shared" si="37"/>
        <v>0</v>
      </c>
    </row>
    <row r="126" spans="2:32" s="34" customFormat="1" ht="38.25">
      <c r="B126" s="60">
        <v>756</v>
      </c>
      <c r="C126" s="61"/>
      <c r="D126" s="61"/>
      <c r="E126" s="62" t="s">
        <v>505</v>
      </c>
      <c r="F126" s="58">
        <f>F127</f>
        <v>38500</v>
      </c>
      <c r="G126" s="59">
        <f aca="true" t="shared" si="57" ref="G126:P126">G127</f>
        <v>0</v>
      </c>
      <c r="H126" s="59">
        <f t="shared" si="57"/>
        <v>549</v>
      </c>
      <c r="I126" s="59">
        <f t="shared" si="57"/>
        <v>0</v>
      </c>
      <c r="J126" s="59">
        <f t="shared" si="57"/>
        <v>0</v>
      </c>
      <c r="K126" s="59">
        <f t="shared" si="57"/>
        <v>0</v>
      </c>
      <c r="L126" s="59">
        <f t="shared" si="57"/>
        <v>0</v>
      </c>
      <c r="M126" s="59">
        <f t="shared" si="57"/>
        <v>10000</v>
      </c>
      <c r="N126" s="59">
        <f t="shared" si="57"/>
        <v>0</v>
      </c>
      <c r="O126" s="59">
        <f t="shared" si="57"/>
        <v>0</v>
      </c>
      <c r="P126" s="59">
        <f t="shared" si="57"/>
        <v>0</v>
      </c>
      <c r="Q126" s="58">
        <f>Q127</f>
        <v>49049</v>
      </c>
      <c r="R126" s="58">
        <f>R127</f>
        <v>563.9100000000001</v>
      </c>
      <c r="S126" s="58">
        <f aca="true" t="shared" si="58" ref="S126:AC126">S127</f>
        <v>751.2800000000001</v>
      </c>
      <c r="T126" s="58">
        <f t="shared" si="58"/>
        <v>9902.91</v>
      </c>
      <c r="U126" s="58">
        <f t="shared" si="58"/>
        <v>2122.88</v>
      </c>
      <c r="V126" s="58">
        <f t="shared" si="58"/>
        <v>7370.41</v>
      </c>
      <c r="W126" s="58">
        <f t="shared" si="58"/>
        <v>1625.95</v>
      </c>
      <c r="X126" s="58">
        <f t="shared" si="58"/>
        <v>454.6</v>
      </c>
      <c r="Y126" s="58">
        <f t="shared" si="58"/>
        <v>410.92</v>
      </c>
      <c r="Z126" s="58">
        <f t="shared" si="58"/>
        <v>7321.41</v>
      </c>
      <c r="AA126" s="58">
        <f t="shared" si="58"/>
        <v>1814.25</v>
      </c>
      <c r="AB126" s="58">
        <f t="shared" si="58"/>
        <v>7570.950000000001</v>
      </c>
      <c r="AC126" s="58">
        <f t="shared" si="58"/>
        <v>1559.8899999999999</v>
      </c>
      <c r="AD126" s="58">
        <f>AD127</f>
        <v>41469.35999999999</v>
      </c>
      <c r="AE126" s="58">
        <f>AE127</f>
        <v>7579.640000000006</v>
      </c>
      <c r="AF126" s="614">
        <f t="shared" si="37"/>
        <v>84.54680013863687</v>
      </c>
    </row>
    <row r="127" spans="2:32" s="34" customFormat="1" ht="25.5">
      <c r="B127" s="40"/>
      <c r="C127" s="42">
        <v>75647</v>
      </c>
      <c r="D127" s="42"/>
      <c r="E127" s="43" t="s">
        <v>506</v>
      </c>
      <c r="F127" s="44">
        <f>SUM(F128:F131)</f>
        <v>38500</v>
      </c>
      <c r="G127" s="45">
        <f aca="true" t="shared" si="59" ref="G127:AB127">SUM(G128:G131)</f>
        <v>0</v>
      </c>
      <c r="H127" s="45">
        <f t="shared" si="59"/>
        <v>549</v>
      </c>
      <c r="I127" s="45">
        <f t="shared" si="59"/>
        <v>0</v>
      </c>
      <c r="J127" s="45">
        <f t="shared" si="59"/>
        <v>0</v>
      </c>
      <c r="K127" s="45">
        <f t="shared" si="59"/>
        <v>0</v>
      </c>
      <c r="L127" s="45">
        <f t="shared" si="59"/>
        <v>0</v>
      </c>
      <c r="M127" s="45">
        <f t="shared" si="59"/>
        <v>10000</v>
      </c>
      <c r="N127" s="45">
        <f t="shared" si="59"/>
        <v>0</v>
      </c>
      <c r="O127" s="45">
        <f t="shared" si="59"/>
        <v>0</v>
      </c>
      <c r="P127" s="45">
        <f t="shared" si="59"/>
        <v>0</v>
      </c>
      <c r="Q127" s="46">
        <f t="shared" si="59"/>
        <v>49049</v>
      </c>
      <c r="R127" s="44">
        <f t="shared" si="59"/>
        <v>563.9100000000001</v>
      </c>
      <c r="S127" s="44">
        <f t="shared" si="59"/>
        <v>751.2800000000001</v>
      </c>
      <c r="T127" s="44">
        <f t="shared" si="59"/>
        <v>9902.91</v>
      </c>
      <c r="U127" s="44">
        <f t="shared" si="59"/>
        <v>2122.88</v>
      </c>
      <c r="V127" s="44">
        <f t="shared" si="59"/>
        <v>7370.41</v>
      </c>
      <c r="W127" s="44">
        <f t="shared" si="59"/>
        <v>1625.95</v>
      </c>
      <c r="X127" s="44">
        <f t="shared" si="59"/>
        <v>454.6</v>
      </c>
      <c r="Y127" s="44">
        <f t="shared" si="59"/>
        <v>410.92</v>
      </c>
      <c r="Z127" s="44">
        <f t="shared" si="59"/>
        <v>7321.41</v>
      </c>
      <c r="AA127" s="44">
        <f t="shared" si="59"/>
        <v>1814.25</v>
      </c>
      <c r="AB127" s="44">
        <f t="shared" si="59"/>
        <v>7570.950000000001</v>
      </c>
      <c r="AC127" s="44">
        <f>SUM(AC128:AC131)</f>
        <v>1559.8899999999999</v>
      </c>
      <c r="AD127" s="44">
        <f>SUM(AD128:AD131)</f>
        <v>41469.35999999999</v>
      </c>
      <c r="AE127" s="44">
        <f>SUM(AE128:AE131)</f>
        <v>7579.640000000006</v>
      </c>
      <c r="AF127" s="615">
        <f t="shared" si="37"/>
        <v>84.54680013863687</v>
      </c>
    </row>
    <row r="128" spans="2:32" s="34" customFormat="1" ht="12.75">
      <c r="B128" s="40"/>
      <c r="C128" s="48"/>
      <c r="D128" s="48">
        <v>4100</v>
      </c>
      <c r="E128" s="49" t="s">
        <v>507</v>
      </c>
      <c r="F128" s="50">
        <v>35000</v>
      </c>
      <c r="G128" s="51"/>
      <c r="H128" s="51"/>
      <c r="I128" s="51"/>
      <c r="J128" s="51"/>
      <c r="K128" s="51"/>
      <c r="L128" s="51"/>
      <c r="M128" s="51">
        <v>10000</v>
      </c>
      <c r="N128" s="51"/>
      <c r="O128" s="51"/>
      <c r="P128" s="51"/>
      <c r="Q128" s="52">
        <f>F128+G128+H128+I128+J128+K128+L128+M128+N128+O128+P128</f>
        <v>45000</v>
      </c>
      <c r="R128" s="50"/>
      <c r="S128" s="50">
        <v>160.58</v>
      </c>
      <c r="T128" s="50">
        <v>9594.82</v>
      </c>
      <c r="U128" s="50">
        <v>1913.54</v>
      </c>
      <c r="V128" s="50">
        <v>7272.04</v>
      </c>
      <c r="W128" s="50">
        <v>1624.14</v>
      </c>
      <c r="X128" s="50">
        <v>363.98</v>
      </c>
      <c r="Y128" s="50">
        <v>410.92</v>
      </c>
      <c r="Z128" s="50">
        <v>7221.19</v>
      </c>
      <c r="AA128" s="50">
        <v>1604.2</v>
      </c>
      <c r="AB128" s="50">
        <v>7197.1</v>
      </c>
      <c r="AC128" s="50">
        <v>1534.32</v>
      </c>
      <c r="AD128" s="53">
        <f>SUM(R128:AC128)</f>
        <v>38896.829999999994</v>
      </c>
      <c r="AE128" s="50">
        <f>Q128-AD128</f>
        <v>6103.1700000000055</v>
      </c>
      <c r="AF128" s="616">
        <f t="shared" si="37"/>
        <v>86.4374</v>
      </c>
    </row>
    <row r="129" spans="2:32" s="34" customFormat="1" ht="12.75">
      <c r="B129" s="40"/>
      <c r="C129" s="48"/>
      <c r="D129" s="48">
        <v>4210</v>
      </c>
      <c r="E129" s="49" t="s">
        <v>1201</v>
      </c>
      <c r="F129" s="50">
        <v>500</v>
      </c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2">
        <f>F129+G129+H129+I129+J129+K129+L129+M129+N129+O129+P129</f>
        <v>500</v>
      </c>
      <c r="R129" s="50">
        <v>305</v>
      </c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3">
        <f>SUM(R129:AC129)</f>
        <v>305</v>
      </c>
      <c r="AE129" s="50">
        <f>Q129-AD129</f>
        <v>195</v>
      </c>
      <c r="AF129" s="616">
        <f t="shared" si="37"/>
        <v>61</v>
      </c>
    </row>
    <row r="130" spans="2:32" s="34" customFormat="1" ht="12.75">
      <c r="B130" s="40"/>
      <c r="C130" s="48"/>
      <c r="D130" s="48">
        <v>4300</v>
      </c>
      <c r="E130" s="49" t="s">
        <v>1203</v>
      </c>
      <c r="F130" s="50"/>
      <c r="G130" s="51"/>
      <c r="H130" s="51">
        <v>549</v>
      </c>
      <c r="I130" s="51"/>
      <c r="J130" s="51"/>
      <c r="K130" s="51"/>
      <c r="L130" s="51"/>
      <c r="M130" s="51"/>
      <c r="N130" s="51"/>
      <c r="O130" s="51"/>
      <c r="P130" s="51"/>
      <c r="Q130" s="52">
        <f>F130+G130+H130+I130+J130+K130+L130+M130+N130+O130+P130</f>
        <v>549</v>
      </c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3">
        <f>SUM(R130:AC130)</f>
        <v>0</v>
      </c>
      <c r="AE130" s="50">
        <f>Q130-AD130</f>
        <v>549</v>
      </c>
      <c r="AF130" s="616">
        <f>AD130*100/Q130</f>
        <v>0</v>
      </c>
    </row>
    <row r="131" spans="2:32" s="34" customFormat="1" ht="25.5">
      <c r="B131" s="40"/>
      <c r="C131" s="48"/>
      <c r="D131" s="48">
        <v>4610</v>
      </c>
      <c r="E131" s="49" t="s">
        <v>508</v>
      </c>
      <c r="F131" s="50">
        <v>3000</v>
      </c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2">
        <f>F131+G131+H131+I131+J131+K131+L131+M131+N131+O131+P131</f>
        <v>3000</v>
      </c>
      <c r="R131" s="50">
        <v>258.91</v>
      </c>
      <c r="S131" s="50">
        <v>590.7</v>
      </c>
      <c r="T131" s="50">
        <v>308.09</v>
      </c>
      <c r="U131" s="50">
        <v>209.34</v>
      </c>
      <c r="V131" s="50">
        <v>98.37</v>
      </c>
      <c r="W131" s="50">
        <v>1.81</v>
      </c>
      <c r="X131" s="50">
        <v>90.62</v>
      </c>
      <c r="Y131" s="50"/>
      <c r="Z131" s="50">
        <v>100.22</v>
      </c>
      <c r="AA131" s="50">
        <v>210.05</v>
      </c>
      <c r="AB131" s="50">
        <v>373.85</v>
      </c>
      <c r="AC131" s="50">
        <v>25.57</v>
      </c>
      <c r="AD131" s="53">
        <f>SUM(R131:AC131)</f>
        <v>2267.5299999999997</v>
      </c>
      <c r="AE131" s="50">
        <f>Q131-AD131</f>
        <v>732.4700000000003</v>
      </c>
      <c r="AF131" s="616">
        <f t="shared" si="37"/>
        <v>75.58433333333332</v>
      </c>
    </row>
    <row r="132" spans="2:32" s="34" customFormat="1" ht="12.75">
      <c r="B132" s="60">
        <v>757</v>
      </c>
      <c r="C132" s="61"/>
      <c r="D132" s="61"/>
      <c r="E132" s="62" t="s">
        <v>509</v>
      </c>
      <c r="F132" s="58">
        <f aca="true" t="shared" si="60" ref="F132:AE132">F133</f>
        <v>191000</v>
      </c>
      <c r="G132" s="59">
        <f t="shared" si="60"/>
        <v>0</v>
      </c>
      <c r="H132" s="59">
        <f t="shared" si="60"/>
        <v>0</v>
      </c>
      <c r="I132" s="59">
        <f t="shared" si="60"/>
        <v>0</v>
      </c>
      <c r="J132" s="59">
        <f t="shared" si="60"/>
        <v>3200</v>
      </c>
      <c r="K132" s="59">
        <f t="shared" si="60"/>
        <v>0</v>
      </c>
      <c r="L132" s="59">
        <f t="shared" si="60"/>
        <v>0</v>
      </c>
      <c r="M132" s="59">
        <f t="shared" si="60"/>
        <v>0</v>
      </c>
      <c r="N132" s="59">
        <f t="shared" si="60"/>
        <v>0</v>
      </c>
      <c r="O132" s="59">
        <f t="shared" si="60"/>
        <v>0</v>
      </c>
      <c r="P132" s="59">
        <f t="shared" si="60"/>
        <v>0</v>
      </c>
      <c r="Q132" s="58">
        <f>Q133</f>
        <v>194200</v>
      </c>
      <c r="R132" s="58">
        <f t="shared" si="60"/>
        <v>14445.95</v>
      </c>
      <c r="S132" s="58">
        <f t="shared" si="60"/>
        <v>14793.78</v>
      </c>
      <c r="T132" s="58">
        <f t="shared" si="60"/>
        <v>15553.99</v>
      </c>
      <c r="U132" s="58">
        <f t="shared" si="60"/>
        <v>13468.46</v>
      </c>
      <c r="V132" s="58">
        <f t="shared" si="60"/>
        <v>12608.76</v>
      </c>
      <c r="W132" s="58">
        <f t="shared" si="60"/>
        <v>13747.73</v>
      </c>
      <c r="X132" s="58">
        <f t="shared" si="60"/>
        <v>10961.99</v>
      </c>
      <c r="Y132" s="58">
        <f t="shared" si="60"/>
        <v>13107.89</v>
      </c>
      <c r="Z132" s="58">
        <f t="shared" si="60"/>
        <v>13940.46</v>
      </c>
      <c r="AA132" s="58">
        <f t="shared" si="60"/>
        <v>13891.1</v>
      </c>
      <c r="AB132" s="58">
        <f t="shared" si="60"/>
        <v>14110.65</v>
      </c>
      <c r="AC132" s="58">
        <f t="shared" si="60"/>
        <v>15241.62</v>
      </c>
      <c r="AD132" s="58">
        <f t="shared" si="60"/>
        <v>165872.38</v>
      </c>
      <c r="AE132" s="58">
        <f t="shared" si="60"/>
        <v>28327.619999999995</v>
      </c>
      <c r="AF132" s="614">
        <f t="shared" si="37"/>
        <v>85.4131719876416</v>
      </c>
    </row>
    <row r="133" spans="2:32" s="34" customFormat="1" ht="25.5">
      <c r="B133" s="40"/>
      <c r="C133" s="42">
        <v>75702</v>
      </c>
      <c r="D133" s="42"/>
      <c r="E133" s="43" t="s">
        <v>522</v>
      </c>
      <c r="F133" s="44">
        <f>SUM(F134:F134)</f>
        <v>191000</v>
      </c>
      <c r="G133" s="45">
        <f aca="true" t="shared" si="61" ref="G133:P133">SUM(G134:G134)</f>
        <v>0</v>
      </c>
      <c r="H133" s="45">
        <f t="shared" si="61"/>
        <v>0</v>
      </c>
      <c r="I133" s="45">
        <f t="shared" si="61"/>
        <v>0</v>
      </c>
      <c r="J133" s="45">
        <f t="shared" si="61"/>
        <v>3200</v>
      </c>
      <c r="K133" s="45">
        <f t="shared" si="61"/>
        <v>0</v>
      </c>
      <c r="L133" s="45">
        <f t="shared" si="61"/>
        <v>0</v>
      </c>
      <c r="M133" s="45">
        <f t="shared" si="61"/>
        <v>0</v>
      </c>
      <c r="N133" s="45">
        <f t="shared" si="61"/>
        <v>0</v>
      </c>
      <c r="O133" s="45">
        <f t="shared" si="61"/>
        <v>0</v>
      </c>
      <c r="P133" s="45">
        <f t="shared" si="61"/>
        <v>0</v>
      </c>
      <c r="Q133" s="75">
        <f>SUM(Q134:Q134)</f>
        <v>194200</v>
      </c>
      <c r="R133" s="44">
        <f>SUM(R134:R134)</f>
        <v>14445.95</v>
      </c>
      <c r="S133" s="44">
        <f aca="true" t="shared" si="62" ref="S133:AC133">SUM(S134:S134)</f>
        <v>14793.78</v>
      </c>
      <c r="T133" s="44">
        <f t="shared" si="62"/>
        <v>15553.99</v>
      </c>
      <c r="U133" s="44">
        <f t="shared" si="62"/>
        <v>13468.46</v>
      </c>
      <c r="V133" s="44">
        <f t="shared" si="62"/>
        <v>12608.76</v>
      </c>
      <c r="W133" s="44">
        <f t="shared" si="62"/>
        <v>13747.73</v>
      </c>
      <c r="X133" s="44">
        <f t="shared" si="62"/>
        <v>10961.99</v>
      </c>
      <c r="Y133" s="44">
        <f t="shared" si="62"/>
        <v>13107.89</v>
      </c>
      <c r="Z133" s="44">
        <f t="shared" si="62"/>
        <v>13940.46</v>
      </c>
      <c r="AA133" s="44">
        <f t="shared" si="62"/>
        <v>13891.1</v>
      </c>
      <c r="AB133" s="44">
        <f t="shared" si="62"/>
        <v>14110.65</v>
      </c>
      <c r="AC133" s="44">
        <f t="shared" si="62"/>
        <v>15241.62</v>
      </c>
      <c r="AD133" s="44">
        <f>SUM(AD134:AD134)</f>
        <v>165872.38</v>
      </c>
      <c r="AE133" s="44">
        <f>SUM(AE134:AE134)</f>
        <v>28327.619999999995</v>
      </c>
      <c r="AF133" s="615">
        <f t="shared" si="37"/>
        <v>85.4131719876416</v>
      </c>
    </row>
    <row r="134" spans="2:32" s="34" customFormat="1" ht="25.5">
      <c r="B134" s="40"/>
      <c r="C134" s="48"/>
      <c r="D134" s="48">
        <v>8070</v>
      </c>
      <c r="E134" s="49" t="s">
        <v>580</v>
      </c>
      <c r="F134" s="50">
        <v>191000</v>
      </c>
      <c r="G134" s="51"/>
      <c r="H134" s="51"/>
      <c r="I134" s="51"/>
      <c r="J134" s="51">
        <v>3200</v>
      </c>
      <c r="K134" s="51"/>
      <c r="L134" s="51"/>
      <c r="M134" s="51"/>
      <c r="N134" s="51"/>
      <c r="O134" s="51"/>
      <c r="P134" s="51"/>
      <c r="Q134" s="52">
        <f>F134+G134+H134+I134+J134+K134+L134+M134+N134+O134+P134</f>
        <v>194200</v>
      </c>
      <c r="R134" s="50">
        <v>14445.95</v>
      </c>
      <c r="S134" s="50">
        <v>14793.78</v>
      </c>
      <c r="T134" s="50">
        <v>15553.99</v>
      </c>
      <c r="U134" s="50">
        <v>13468.46</v>
      </c>
      <c r="V134" s="50">
        <v>12608.76</v>
      </c>
      <c r="W134" s="50">
        <v>13747.73</v>
      </c>
      <c r="X134" s="50">
        <v>10961.99</v>
      </c>
      <c r="Y134" s="50">
        <v>13107.89</v>
      </c>
      <c r="Z134" s="50">
        <v>13940.46</v>
      </c>
      <c r="AA134" s="50">
        <v>13891.1</v>
      </c>
      <c r="AB134" s="50">
        <v>14110.65</v>
      </c>
      <c r="AC134" s="50">
        <v>15241.62</v>
      </c>
      <c r="AD134" s="53">
        <f>SUM(R134:AC134)</f>
        <v>165872.38</v>
      </c>
      <c r="AE134" s="50">
        <f>Q134-AD134</f>
        <v>28327.619999999995</v>
      </c>
      <c r="AF134" s="616">
        <f t="shared" si="37"/>
        <v>85.4131719876416</v>
      </c>
    </row>
    <row r="135" spans="2:32" s="34" customFormat="1" ht="12.75">
      <c r="B135" s="60">
        <v>758</v>
      </c>
      <c r="C135" s="61"/>
      <c r="D135" s="61"/>
      <c r="E135" s="62" t="s">
        <v>343</v>
      </c>
      <c r="F135" s="58">
        <f>F136</f>
        <v>50000</v>
      </c>
      <c r="G135" s="59">
        <f aca="true" t="shared" si="63" ref="G135:P135">G136</f>
        <v>0</v>
      </c>
      <c r="H135" s="59">
        <f t="shared" si="63"/>
        <v>0</v>
      </c>
      <c r="I135" s="59">
        <f t="shared" si="63"/>
        <v>0</v>
      </c>
      <c r="J135" s="59">
        <f t="shared" si="63"/>
        <v>50000</v>
      </c>
      <c r="K135" s="59">
        <f t="shared" si="63"/>
        <v>0</v>
      </c>
      <c r="L135" s="69">
        <f t="shared" si="63"/>
        <v>-35015</v>
      </c>
      <c r="M135" s="59">
        <f t="shared" si="63"/>
        <v>120000</v>
      </c>
      <c r="N135" s="59">
        <f t="shared" si="63"/>
        <v>0</v>
      </c>
      <c r="O135" s="69">
        <f t="shared" si="63"/>
        <v>-134686</v>
      </c>
      <c r="P135" s="59">
        <f t="shared" si="63"/>
        <v>0</v>
      </c>
      <c r="Q135" s="58">
        <f>Q136</f>
        <v>50299</v>
      </c>
      <c r="R135" s="58">
        <f>R136</f>
        <v>0</v>
      </c>
      <c r="S135" s="58">
        <f aca="true" t="shared" si="64" ref="S135:AC135">S136</f>
        <v>0</v>
      </c>
      <c r="T135" s="58">
        <f t="shared" si="64"/>
        <v>0</v>
      </c>
      <c r="U135" s="58">
        <f t="shared" si="64"/>
        <v>0</v>
      </c>
      <c r="V135" s="58">
        <f t="shared" si="64"/>
        <v>0</v>
      </c>
      <c r="W135" s="58">
        <f t="shared" si="64"/>
        <v>0</v>
      </c>
      <c r="X135" s="58">
        <f t="shared" si="64"/>
        <v>0</v>
      </c>
      <c r="Y135" s="58">
        <f t="shared" si="64"/>
        <v>0</v>
      </c>
      <c r="Z135" s="58">
        <f t="shared" si="64"/>
        <v>0</v>
      </c>
      <c r="AA135" s="58">
        <f t="shared" si="64"/>
        <v>0</v>
      </c>
      <c r="AB135" s="58">
        <f t="shared" si="64"/>
        <v>0</v>
      </c>
      <c r="AC135" s="58">
        <f t="shared" si="64"/>
        <v>0</v>
      </c>
      <c r="AD135" s="58">
        <f>AD136</f>
        <v>0</v>
      </c>
      <c r="AE135" s="58">
        <f>AE136</f>
        <v>50299</v>
      </c>
      <c r="AF135" s="614">
        <f t="shared" si="37"/>
        <v>0</v>
      </c>
    </row>
    <row r="136" spans="2:32" s="34" customFormat="1" ht="12.75" customHeight="1">
      <c r="B136" s="40"/>
      <c r="C136" s="42">
        <v>75818</v>
      </c>
      <c r="D136" s="42"/>
      <c r="E136" s="43" t="s">
        <v>581</v>
      </c>
      <c r="F136" s="44">
        <f aca="true" t="shared" si="65" ref="F136:AE136">SUM(F137:F137)</f>
        <v>50000</v>
      </c>
      <c r="G136" s="45">
        <f t="shared" si="65"/>
        <v>0</v>
      </c>
      <c r="H136" s="45">
        <f t="shared" si="65"/>
        <v>0</v>
      </c>
      <c r="I136" s="45">
        <f t="shared" si="65"/>
        <v>0</v>
      </c>
      <c r="J136" s="45">
        <f t="shared" si="65"/>
        <v>50000</v>
      </c>
      <c r="K136" s="45">
        <f t="shared" si="65"/>
        <v>0</v>
      </c>
      <c r="L136" s="70">
        <f t="shared" si="65"/>
        <v>-35015</v>
      </c>
      <c r="M136" s="45">
        <f t="shared" si="65"/>
        <v>120000</v>
      </c>
      <c r="N136" s="45">
        <f t="shared" si="65"/>
        <v>0</v>
      </c>
      <c r="O136" s="70">
        <f t="shared" si="65"/>
        <v>-134686</v>
      </c>
      <c r="P136" s="45">
        <f t="shared" si="65"/>
        <v>0</v>
      </c>
      <c r="Q136" s="75">
        <f>SUM(Q137:Q137)</f>
        <v>50299</v>
      </c>
      <c r="R136" s="44">
        <f t="shared" si="65"/>
        <v>0</v>
      </c>
      <c r="S136" s="44">
        <f t="shared" si="65"/>
        <v>0</v>
      </c>
      <c r="T136" s="44">
        <f t="shared" si="65"/>
        <v>0</v>
      </c>
      <c r="U136" s="44">
        <f t="shared" si="65"/>
        <v>0</v>
      </c>
      <c r="V136" s="44">
        <f t="shared" si="65"/>
        <v>0</v>
      </c>
      <c r="W136" s="44">
        <f t="shared" si="65"/>
        <v>0</v>
      </c>
      <c r="X136" s="44">
        <f t="shared" si="65"/>
        <v>0</v>
      </c>
      <c r="Y136" s="44">
        <f t="shared" si="65"/>
        <v>0</v>
      </c>
      <c r="Z136" s="44">
        <f t="shared" si="65"/>
        <v>0</v>
      </c>
      <c r="AA136" s="44">
        <f t="shared" si="65"/>
        <v>0</v>
      </c>
      <c r="AB136" s="44">
        <f t="shared" si="65"/>
        <v>0</v>
      </c>
      <c r="AC136" s="44">
        <f t="shared" si="65"/>
        <v>0</v>
      </c>
      <c r="AD136" s="44">
        <f t="shared" si="65"/>
        <v>0</v>
      </c>
      <c r="AE136" s="44">
        <f t="shared" si="65"/>
        <v>50299</v>
      </c>
      <c r="AF136" s="615">
        <f t="shared" si="37"/>
        <v>0</v>
      </c>
    </row>
    <row r="137" spans="2:32" s="34" customFormat="1" ht="18" customHeight="1">
      <c r="B137" s="40"/>
      <c r="C137" s="48"/>
      <c r="D137" s="48">
        <v>4810</v>
      </c>
      <c r="E137" s="49" t="s">
        <v>582</v>
      </c>
      <c r="F137" s="50">
        <v>50000</v>
      </c>
      <c r="G137" s="72"/>
      <c r="H137" s="51"/>
      <c r="I137" s="51"/>
      <c r="J137" s="51">
        <v>50000</v>
      </c>
      <c r="K137" s="51"/>
      <c r="L137" s="72">
        <v>-35015</v>
      </c>
      <c r="M137" s="51">
        <v>120000</v>
      </c>
      <c r="N137" s="51"/>
      <c r="O137" s="72">
        <v>-134686</v>
      </c>
      <c r="P137" s="72"/>
      <c r="Q137" s="52">
        <f>F137+G137+H137+I137+J137+K137+L137+M137+N137+O137+P137</f>
        <v>50299</v>
      </c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3">
        <f>SUM(R137:AC137)</f>
        <v>0</v>
      </c>
      <c r="AE137" s="50">
        <f>Q137-AD137</f>
        <v>50299</v>
      </c>
      <c r="AF137" s="616">
        <f t="shared" si="37"/>
        <v>0</v>
      </c>
    </row>
    <row r="138" spans="2:32" s="34" customFormat="1" ht="12.75">
      <c r="B138" s="60">
        <v>801</v>
      </c>
      <c r="C138" s="61"/>
      <c r="D138" s="61"/>
      <c r="E138" s="62" t="s">
        <v>350</v>
      </c>
      <c r="F138" s="58">
        <f>F139+F176+F199+F220+F229+F247+F244+F160</f>
        <v>5978295</v>
      </c>
      <c r="G138" s="59">
        <f aca="true" t="shared" si="66" ref="G138:AE138">G139+G176+G199+G220+G229+G247+G244+G160</f>
        <v>0</v>
      </c>
      <c r="H138" s="59">
        <f t="shared" si="66"/>
        <v>0</v>
      </c>
      <c r="I138" s="59">
        <f t="shared" si="66"/>
        <v>0</v>
      </c>
      <c r="J138" s="59">
        <f t="shared" si="66"/>
        <v>46890</v>
      </c>
      <c r="K138" s="59">
        <f t="shared" si="66"/>
        <v>223667</v>
      </c>
      <c r="L138" s="59">
        <f t="shared" si="66"/>
        <v>0</v>
      </c>
      <c r="M138" s="59">
        <f t="shared" si="66"/>
        <v>161020</v>
      </c>
      <c r="N138" s="59">
        <f t="shared" si="66"/>
        <v>14067</v>
      </c>
      <c r="O138" s="59">
        <f t="shared" si="66"/>
        <v>144586</v>
      </c>
      <c r="P138" s="59">
        <f t="shared" si="66"/>
        <v>32270</v>
      </c>
      <c r="Q138" s="58">
        <f t="shared" si="66"/>
        <v>6600795</v>
      </c>
      <c r="R138" s="58">
        <f t="shared" si="66"/>
        <v>481580.33</v>
      </c>
      <c r="S138" s="58">
        <f t="shared" si="66"/>
        <v>491260.87</v>
      </c>
      <c r="T138" s="58">
        <f t="shared" si="66"/>
        <v>809788.1</v>
      </c>
      <c r="U138" s="58">
        <f t="shared" si="66"/>
        <v>633264.4299999999</v>
      </c>
      <c r="V138" s="58">
        <f t="shared" si="66"/>
        <v>537248.35</v>
      </c>
      <c r="W138" s="58">
        <f t="shared" si="66"/>
        <v>482181.74999999994</v>
      </c>
      <c r="X138" s="58">
        <f t="shared" si="66"/>
        <v>461089.12000000005</v>
      </c>
      <c r="Y138" s="58">
        <f t="shared" si="66"/>
        <v>432175.28</v>
      </c>
      <c r="Z138" s="58">
        <f t="shared" si="66"/>
        <v>499032.4199999999</v>
      </c>
      <c r="AA138" s="58">
        <f t="shared" si="66"/>
        <v>534735.44</v>
      </c>
      <c r="AB138" s="58">
        <f t="shared" si="66"/>
        <v>730134.3099999999</v>
      </c>
      <c r="AC138" s="58">
        <f t="shared" si="66"/>
        <v>500831.88999999996</v>
      </c>
      <c r="AD138" s="58">
        <f t="shared" si="66"/>
        <v>6593322.289999999</v>
      </c>
      <c r="AE138" s="58">
        <f t="shared" si="66"/>
        <v>7472.709999999774</v>
      </c>
      <c r="AF138" s="614">
        <f t="shared" si="37"/>
        <v>99.88679075777992</v>
      </c>
    </row>
    <row r="139" spans="2:32" s="34" customFormat="1" ht="12.75">
      <c r="B139" s="40"/>
      <c r="C139" s="42">
        <v>80101</v>
      </c>
      <c r="D139" s="42"/>
      <c r="E139" s="43" t="s">
        <v>351</v>
      </c>
      <c r="F139" s="44">
        <f>SUM(F140:F159)</f>
        <v>2673790</v>
      </c>
      <c r="G139" s="45">
        <f aca="true" t="shared" si="67" ref="G139:Z139">SUM(G140:G159)</f>
        <v>0</v>
      </c>
      <c r="H139" s="45">
        <f t="shared" si="67"/>
        <v>0</v>
      </c>
      <c r="I139" s="45">
        <f t="shared" si="67"/>
        <v>0</v>
      </c>
      <c r="J139" s="45">
        <f>SUM(J140:J159)</f>
        <v>21890</v>
      </c>
      <c r="K139" s="45">
        <f t="shared" si="67"/>
        <v>129600</v>
      </c>
      <c r="L139" s="45">
        <f t="shared" si="67"/>
        <v>0</v>
      </c>
      <c r="M139" s="45">
        <f t="shared" si="67"/>
        <v>57820</v>
      </c>
      <c r="N139" s="45">
        <f t="shared" si="67"/>
        <v>0</v>
      </c>
      <c r="O139" s="45">
        <f t="shared" si="67"/>
        <v>90160</v>
      </c>
      <c r="P139" s="45">
        <f t="shared" si="67"/>
        <v>1244</v>
      </c>
      <c r="Q139" s="46">
        <f t="shared" si="67"/>
        <v>2974504</v>
      </c>
      <c r="R139" s="44">
        <f t="shared" si="67"/>
        <v>216966.22</v>
      </c>
      <c r="S139" s="44">
        <f t="shared" si="67"/>
        <v>234266.45</v>
      </c>
      <c r="T139" s="44">
        <f t="shared" si="67"/>
        <v>382722.27</v>
      </c>
      <c r="U139" s="44">
        <f t="shared" si="67"/>
        <v>283594.87</v>
      </c>
      <c r="V139" s="44">
        <f t="shared" si="67"/>
        <v>217382.43</v>
      </c>
      <c r="W139" s="44">
        <f t="shared" si="67"/>
        <v>174059.69999999992</v>
      </c>
      <c r="X139" s="44">
        <f t="shared" si="67"/>
        <v>185470.64000000004</v>
      </c>
      <c r="Y139" s="44">
        <f>SUM(Y140:Y159)</f>
        <v>173437.47999999998</v>
      </c>
      <c r="Z139" s="44">
        <f t="shared" si="67"/>
        <v>235414.87000000002</v>
      </c>
      <c r="AA139" s="44">
        <f>SUM(AA140:AA159)</f>
        <v>255475.61</v>
      </c>
      <c r="AB139" s="44">
        <f>SUM(AB140:AB159)</f>
        <v>413123.53</v>
      </c>
      <c r="AC139" s="44">
        <f>SUM(AC140:AC159)</f>
        <v>202563.59999999998</v>
      </c>
      <c r="AD139" s="44">
        <f>SUM(AD140:AD159)</f>
        <v>2974477.67</v>
      </c>
      <c r="AE139" s="44">
        <f>SUM(AE140:AE159)</f>
        <v>26.32999999990102</v>
      </c>
      <c r="AF139" s="615">
        <f t="shared" si="37"/>
        <v>99.999114810402</v>
      </c>
    </row>
    <row r="140" spans="2:32" s="34" customFormat="1" ht="25.5">
      <c r="B140" s="40"/>
      <c r="C140" s="48"/>
      <c r="D140" s="48">
        <v>3020</v>
      </c>
      <c r="E140" s="49" t="s">
        <v>530</v>
      </c>
      <c r="F140" s="50">
        <v>84000</v>
      </c>
      <c r="G140" s="51"/>
      <c r="H140" s="51"/>
      <c r="I140" s="51"/>
      <c r="J140" s="51"/>
      <c r="K140" s="51"/>
      <c r="L140" s="51"/>
      <c r="M140" s="51">
        <v>11000</v>
      </c>
      <c r="N140" s="51"/>
      <c r="O140" s="51">
        <v>5000</v>
      </c>
      <c r="P140" s="51">
        <v>2111</v>
      </c>
      <c r="Q140" s="52">
        <f aca="true" t="shared" si="68" ref="Q140:Q159">F140+G140+H140+I140+J140+K140+L140+M140+N140+O140+P140</f>
        <v>102111</v>
      </c>
      <c r="R140" s="50">
        <v>7764.21</v>
      </c>
      <c r="S140" s="50">
        <v>7599.92</v>
      </c>
      <c r="T140" s="50">
        <v>7742.2</v>
      </c>
      <c r="U140" s="50">
        <v>7028.96</v>
      </c>
      <c r="V140" s="50">
        <v>8280.61</v>
      </c>
      <c r="W140" s="50">
        <v>8992.76</v>
      </c>
      <c r="X140" s="50">
        <v>7796.73</v>
      </c>
      <c r="Y140" s="50">
        <v>7565.33</v>
      </c>
      <c r="Z140" s="50">
        <v>7935.32</v>
      </c>
      <c r="AA140" s="50">
        <v>12497</v>
      </c>
      <c r="AB140" s="50">
        <v>9601.99</v>
      </c>
      <c r="AC140" s="50">
        <v>9304.15</v>
      </c>
      <c r="AD140" s="53">
        <f aca="true" t="shared" si="69" ref="AD140:AD157">SUM(R140:AC140)</f>
        <v>102109.18000000001</v>
      </c>
      <c r="AE140" s="50">
        <f aca="true" t="shared" si="70" ref="AE140:AE157">Q140-AD140</f>
        <v>1.819999999992433</v>
      </c>
      <c r="AF140" s="616">
        <f t="shared" si="37"/>
        <v>99.9982176259169</v>
      </c>
    </row>
    <row r="141" spans="2:32" s="34" customFormat="1" ht="12.75" hidden="1">
      <c r="B141" s="40"/>
      <c r="C141" s="48"/>
      <c r="D141" s="48">
        <v>3260</v>
      </c>
      <c r="E141" s="49" t="s">
        <v>583</v>
      </c>
      <c r="F141" s="50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2">
        <f t="shared" si="68"/>
        <v>0</v>
      </c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3">
        <f t="shared" si="69"/>
        <v>0</v>
      </c>
      <c r="AE141" s="50">
        <f t="shared" si="70"/>
        <v>0</v>
      </c>
      <c r="AF141" s="616" t="e">
        <f t="shared" si="37"/>
        <v>#DIV/0!</v>
      </c>
    </row>
    <row r="142" spans="2:32" s="34" customFormat="1" ht="12.75">
      <c r="B142" s="40"/>
      <c r="C142" s="48"/>
      <c r="D142" s="48">
        <v>4010</v>
      </c>
      <c r="E142" s="49" t="s">
        <v>524</v>
      </c>
      <c r="F142" s="50">
        <v>1598500</v>
      </c>
      <c r="G142" s="51"/>
      <c r="H142" s="51"/>
      <c r="I142" s="51"/>
      <c r="J142" s="51">
        <v>15050</v>
      </c>
      <c r="K142" s="51"/>
      <c r="L142" s="51"/>
      <c r="M142" s="51">
        <v>12204</v>
      </c>
      <c r="N142" s="51"/>
      <c r="O142" s="51">
        <v>84800</v>
      </c>
      <c r="P142" s="72">
        <v>-16072</v>
      </c>
      <c r="Q142" s="52">
        <f t="shared" si="68"/>
        <v>1694482</v>
      </c>
      <c r="R142" s="50">
        <v>139105.38</v>
      </c>
      <c r="S142" s="50">
        <v>139298.12</v>
      </c>
      <c r="T142" s="50">
        <v>130498.05</v>
      </c>
      <c r="U142" s="50">
        <v>130122.94</v>
      </c>
      <c r="V142" s="50">
        <v>145042.51</v>
      </c>
      <c r="W142" s="50">
        <v>142619.75</v>
      </c>
      <c r="X142" s="50">
        <v>134803.47</v>
      </c>
      <c r="Y142" s="50">
        <v>127406.73</v>
      </c>
      <c r="Z142" s="50">
        <v>155141.1</v>
      </c>
      <c r="AA142" s="50">
        <v>155492.79</v>
      </c>
      <c r="AB142" s="50">
        <v>150450.16</v>
      </c>
      <c r="AC142" s="50">
        <v>144498.07</v>
      </c>
      <c r="AD142" s="53">
        <f t="shared" si="69"/>
        <v>1694479.07</v>
      </c>
      <c r="AE142" s="50">
        <f t="shared" si="70"/>
        <v>2.9299999999348074</v>
      </c>
      <c r="AF142" s="616">
        <f t="shared" si="37"/>
        <v>99.99982708579967</v>
      </c>
    </row>
    <row r="143" spans="2:32" s="34" customFormat="1" ht="12.75">
      <c r="B143" s="40"/>
      <c r="C143" s="48"/>
      <c r="D143" s="48">
        <v>4040</v>
      </c>
      <c r="E143" s="49" t="s">
        <v>531</v>
      </c>
      <c r="F143" s="50">
        <v>122600</v>
      </c>
      <c r="G143" s="51"/>
      <c r="H143" s="51"/>
      <c r="I143" s="51"/>
      <c r="J143" s="51">
        <v>1685</v>
      </c>
      <c r="K143" s="51"/>
      <c r="L143" s="51"/>
      <c r="M143" s="51"/>
      <c r="N143" s="51"/>
      <c r="O143" s="51"/>
      <c r="P143" s="51"/>
      <c r="Q143" s="52">
        <f t="shared" si="68"/>
        <v>124285</v>
      </c>
      <c r="R143" s="50"/>
      <c r="S143" s="50"/>
      <c r="T143" s="50">
        <v>80703.03</v>
      </c>
      <c r="U143" s="50">
        <v>43581.82</v>
      </c>
      <c r="V143" s="50"/>
      <c r="W143" s="50"/>
      <c r="X143" s="50"/>
      <c r="Y143" s="50"/>
      <c r="Z143" s="50"/>
      <c r="AA143" s="50"/>
      <c r="AB143" s="50"/>
      <c r="AC143" s="50"/>
      <c r="AD143" s="53">
        <f t="shared" si="69"/>
        <v>124284.85</v>
      </c>
      <c r="AE143" s="50">
        <f t="shared" si="70"/>
        <v>0.14999999999417923</v>
      </c>
      <c r="AF143" s="616">
        <f aca="true" t="shared" si="71" ref="AF143:AF207">AD143*100/Q143</f>
        <v>99.9998793096512</v>
      </c>
    </row>
    <row r="144" spans="2:32" s="34" customFormat="1" ht="12.75">
      <c r="B144" s="40"/>
      <c r="C144" s="48"/>
      <c r="D144" s="48">
        <v>4110</v>
      </c>
      <c r="E144" s="49" t="s">
        <v>525</v>
      </c>
      <c r="F144" s="50">
        <v>336600</v>
      </c>
      <c r="G144" s="51"/>
      <c r="H144" s="51"/>
      <c r="I144" s="51"/>
      <c r="J144" s="51"/>
      <c r="K144" s="51"/>
      <c r="L144" s="51"/>
      <c r="M144" s="72">
        <f>-10000+2116</f>
        <v>-7884</v>
      </c>
      <c r="N144" s="72"/>
      <c r="O144" s="72">
        <v>-19000</v>
      </c>
      <c r="P144" s="51">
        <v>6649</v>
      </c>
      <c r="Q144" s="52">
        <f t="shared" si="68"/>
        <v>316365</v>
      </c>
      <c r="R144" s="50">
        <v>24063.25</v>
      </c>
      <c r="S144" s="50">
        <v>22773.34</v>
      </c>
      <c r="T144" s="50">
        <v>23761.2</v>
      </c>
      <c r="U144" s="50">
        <v>43448.72</v>
      </c>
      <c r="V144" s="50">
        <v>22676.84</v>
      </c>
      <c r="W144" s="50">
        <v>27455.77</v>
      </c>
      <c r="X144" s="50">
        <v>26816.75</v>
      </c>
      <c r="Y144" s="50">
        <v>22888.74</v>
      </c>
      <c r="Z144" s="50">
        <v>23132.51</v>
      </c>
      <c r="AA144" s="50">
        <v>22300.65</v>
      </c>
      <c r="AB144" s="50">
        <v>28973.49</v>
      </c>
      <c r="AC144" s="50">
        <v>28072.15</v>
      </c>
      <c r="AD144" s="53">
        <f t="shared" si="69"/>
        <v>316363.41000000003</v>
      </c>
      <c r="AE144" s="50">
        <f t="shared" si="70"/>
        <v>1.5899999999674037</v>
      </c>
      <c r="AF144" s="616">
        <f t="shared" si="71"/>
        <v>99.99949741595942</v>
      </c>
    </row>
    <row r="145" spans="2:32" s="34" customFormat="1" ht="12.75">
      <c r="B145" s="40"/>
      <c r="C145" s="48"/>
      <c r="D145" s="48">
        <v>4120</v>
      </c>
      <c r="E145" s="49" t="s">
        <v>532</v>
      </c>
      <c r="F145" s="50">
        <v>45900</v>
      </c>
      <c r="G145" s="51"/>
      <c r="H145" s="51"/>
      <c r="I145" s="51"/>
      <c r="J145" s="51"/>
      <c r="K145" s="51"/>
      <c r="L145" s="51"/>
      <c r="M145" s="51">
        <v>300</v>
      </c>
      <c r="N145" s="51"/>
      <c r="O145" s="72">
        <v>-600</v>
      </c>
      <c r="P145" s="72">
        <v>-3236</v>
      </c>
      <c r="Q145" s="52">
        <f t="shared" si="68"/>
        <v>42364</v>
      </c>
      <c r="R145" s="50">
        <v>1239.32</v>
      </c>
      <c r="S145" s="50">
        <v>3354.23</v>
      </c>
      <c r="T145" s="50">
        <v>3251.6</v>
      </c>
      <c r="U145" s="50">
        <v>6239.86</v>
      </c>
      <c r="V145" s="50">
        <v>3213.06</v>
      </c>
      <c r="W145" s="50">
        <v>3944.68</v>
      </c>
      <c r="X145" s="50">
        <v>3462.6</v>
      </c>
      <c r="Y145" s="50">
        <v>3260.74</v>
      </c>
      <c r="Z145" s="50">
        <v>3295.12</v>
      </c>
      <c r="AA145" s="50">
        <v>3327.16</v>
      </c>
      <c r="AB145" s="50">
        <v>3965.23</v>
      </c>
      <c r="AC145" s="50">
        <v>3808.8</v>
      </c>
      <c r="AD145" s="53">
        <f t="shared" si="69"/>
        <v>42362.4</v>
      </c>
      <c r="AE145" s="50">
        <f t="shared" si="70"/>
        <v>1.5999999999985448</v>
      </c>
      <c r="AF145" s="616">
        <f t="shared" si="71"/>
        <v>99.99622320838448</v>
      </c>
    </row>
    <row r="146" spans="2:32" s="34" customFormat="1" ht="12.75">
      <c r="B146" s="40"/>
      <c r="C146" s="48"/>
      <c r="D146" s="48">
        <v>4210</v>
      </c>
      <c r="E146" s="49" t="s">
        <v>1201</v>
      </c>
      <c r="F146" s="50">
        <v>162000</v>
      </c>
      <c r="G146" s="51"/>
      <c r="H146" s="51"/>
      <c r="I146" s="72">
        <v>-50000</v>
      </c>
      <c r="J146" s="51">
        <v>3802</v>
      </c>
      <c r="K146" s="51">
        <v>29600</v>
      </c>
      <c r="L146" s="51"/>
      <c r="M146" s="51"/>
      <c r="N146" s="51"/>
      <c r="O146" s="51"/>
      <c r="P146" s="51">
        <v>19707</v>
      </c>
      <c r="Q146" s="52">
        <f t="shared" si="68"/>
        <v>165109</v>
      </c>
      <c r="R146" s="50">
        <v>20086.54</v>
      </c>
      <c r="S146" s="50">
        <v>12174.5</v>
      </c>
      <c r="T146" s="50">
        <v>36156</v>
      </c>
      <c r="U146" s="50">
        <v>10783.2</v>
      </c>
      <c r="V146" s="50">
        <v>21582.88</v>
      </c>
      <c r="W146" s="72">
        <v>-4197.66</v>
      </c>
      <c r="X146" s="50">
        <v>3056.37</v>
      </c>
      <c r="Y146" s="50">
        <v>2693.2</v>
      </c>
      <c r="Z146" s="50">
        <v>10510.73</v>
      </c>
      <c r="AA146" s="50">
        <v>7549.45</v>
      </c>
      <c r="AB146" s="50">
        <v>34981.93</v>
      </c>
      <c r="AC146" s="50">
        <v>9728.55</v>
      </c>
      <c r="AD146" s="53">
        <f t="shared" si="69"/>
        <v>165105.68999999997</v>
      </c>
      <c r="AE146" s="72">
        <f t="shared" si="70"/>
        <v>3.3100000000267755</v>
      </c>
      <c r="AF146" s="616">
        <f t="shared" si="71"/>
        <v>99.99799526373485</v>
      </c>
    </row>
    <row r="147" spans="2:32" s="34" customFormat="1" ht="12.75">
      <c r="B147" s="40"/>
      <c r="C147" s="48"/>
      <c r="D147" s="48">
        <v>4240</v>
      </c>
      <c r="E147" s="49" t="s">
        <v>584</v>
      </c>
      <c r="F147" s="50">
        <v>7400</v>
      </c>
      <c r="G147" s="51"/>
      <c r="H147" s="51"/>
      <c r="I147" s="51"/>
      <c r="J147" s="72">
        <v>-407</v>
      </c>
      <c r="K147" s="72">
        <v>-200</v>
      </c>
      <c r="L147" s="51"/>
      <c r="M147" s="51"/>
      <c r="N147" s="51"/>
      <c r="O147" s="72">
        <v>-500</v>
      </c>
      <c r="P147" s="51">
        <v>562</v>
      </c>
      <c r="Q147" s="52">
        <f t="shared" si="68"/>
        <v>6855</v>
      </c>
      <c r="R147" s="50">
        <v>129.9</v>
      </c>
      <c r="S147" s="50">
        <v>1174.16</v>
      </c>
      <c r="T147" s="50">
        <v>1488.42</v>
      </c>
      <c r="U147" s="50">
        <v>726.9</v>
      </c>
      <c r="V147" s="50"/>
      <c r="W147" s="50">
        <v>450.81</v>
      </c>
      <c r="X147" s="50">
        <v>97.2</v>
      </c>
      <c r="Y147" s="50"/>
      <c r="Z147" s="50">
        <v>948.64</v>
      </c>
      <c r="AA147" s="50">
        <v>613</v>
      </c>
      <c r="AB147" s="50">
        <v>453.11</v>
      </c>
      <c r="AC147" s="50">
        <v>771.2</v>
      </c>
      <c r="AD147" s="53">
        <f t="shared" si="69"/>
        <v>6853.34</v>
      </c>
      <c r="AE147" s="50">
        <f t="shared" si="70"/>
        <v>1.6599999999998545</v>
      </c>
      <c r="AF147" s="616">
        <f t="shared" si="71"/>
        <v>99.97578409919767</v>
      </c>
    </row>
    <row r="148" spans="2:32" s="34" customFormat="1" ht="12.75">
      <c r="B148" s="40"/>
      <c r="C148" s="48"/>
      <c r="D148" s="48">
        <v>4260</v>
      </c>
      <c r="E148" s="49" t="s">
        <v>527</v>
      </c>
      <c r="F148" s="50">
        <v>129000</v>
      </c>
      <c r="G148" s="51"/>
      <c r="H148" s="51"/>
      <c r="I148" s="51"/>
      <c r="J148" s="72">
        <v>-1307</v>
      </c>
      <c r="K148" s="51"/>
      <c r="L148" s="51"/>
      <c r="M148" s="51"/>
      <c r="N148" s="51"/>
      <c r="O148" s="72">
        <v>-3000</v>
      </c>
      <c r="P148" s="72">
        <v>-12420</v>
      </c>
      <c r="Q148" s="52">
        <f t="shared" si="68"/>
        <v>112273</v>
      </c>
      <c r="R148" s="50">
        <v>13191.76</v>
      </c>
      <c r="S148" s="50">
        <v>33303.65</v>
      </c>
      <c r="T148" s="50">
        <v>19420.67</v>
      </c>
      <c r="U148" s="50">
        <v>19932.45</v>
      </c>
      <c r="V148" s="50">
        <v>7930.58</v>
      </c>
      <c r="W148" s="72">
        <v>-16179.95</v>
      </c>
      <c r="X148" s="50">
        <v>4768.67</v>
      </c>
      <c r="Y148" s="50">
        <v>5914.93</v>
      </c>
      <c r="Z148" s="50">
        <v>3981.38</v>
      </c>
      <c r="AA148" s="50">
        <v>9863.58</v>
      </c>
      <c r="AB148" s="50">
        <v>10811.51</v>
      </c>
      <c r="AC148" s="72">
        <v>-668.74</v>
      </c>
      <c r="AD148" s="53">
        <f t="shared" si="69"/>
        <v>112270.49</v>
      </c>
      <c r="AE148" s="72">
        <f t="shared" si="70"/>
        <v>2.5099999999947613</v>
      </c>
      <c r="AF148" s="616">
        <f t="shared" si="71"/>
        <v>99.9977643779003</v>
      </c>
    </row>
    <row r="149" spans="2:32" s="34" customFormat="1" ht="12.75">
      <c r="B149" s="40"/>
      <c r="C149" s="48"/>
      <c r="D149" s="48">
        <v>4270</v>
      </c>
      <c r="E149" s="49" t="s">
        <v>1202</v>
      </c>
      <c r="F149" s="50">
        <v>9000</v>
      </c>
      <c r="G149" s="51">
        <v>4500</v>
      </c>
      <c r="H149" s="51"/>
      <c r="I149" s="51">
        <v>50000</v>
      </c>
      <c r="J149" s="51">
        <v>6840</v>
      </c>
      <c r="K149" s="51">
        <v>100000</v>
      </c>
      <c r="L149" s="51"/>
      <c r="M149" s="51">
        <v>30000</v>
      </c>
      <c r="N149" s="51"/>
      <c r="O149" s="51">
        <v>19820</v>
      </c>
      <c r="P149" s="72">
        <v>-905</v>
      </c>
      <c r="Q149" s="52">
        <f t="shared" si="68"/>
        <v>219255</v>
      </c>
      <c r="R149" s="50">
        <v>4048</v>
      </c>
      <c r="S149" s="50">
        <v>4328.44</v>
      </c>
      <c r="T149" s="50"/>
      <c r="U149" s="50">
        <v>14101.7</v>
      </c>
      <c r="V149" s="50"/>
      <c r="W149" s="50"/>
      <c r="X149" s="50"/>
      <c r="Y149" s="50">
        <v>610</v>
      </c>
      <c r="Z149" s="50"/>
      <c r="AA149" s="50">
        <v>28753.52</v>
      </c>
      <c r="AB149" s="50">
        <v>167412.47</v>
      </c>
      <c r="AC149" s="50"/>
      <c r="AD149" s="53">
        <f t="shared" si="69"/>
        <v>219254.13</v>
      </c>
      <c r="AE149" s="50">
        <f t="shared" si="70"/>
        <v>0.8699999999953434</v>
      </c>
      <c r="AF149" s="616">
        <f t="shared" si="71"/>
        <v>99.99960320175138</v>
      </c>
    </row>
    <row r="150" spans="2:32" s="34" customFormat="1" ht="15.75" customHeight="1">
      <c r="B150" s="40"/>
      <c r="C150" s="48"/>
      <c r="D150" s="48">
        <v>4280</v>
      </c>
      <c r="E150" s="49" t="s">
        <v>534</v>
      </c>
      <c r="F150" s="50">
        <v>4300</v>
      </c>
      <c r="G150" s="51"/>
      <c r="H150" s="51"/>
      <c r="I150" s="51"/>
      <c r="J150" s="51"/>
      <c r="K150" s="72">
        <v>-300</v>
      </c>
      <c r="L150" s="51"/>
      <c r="M150" s="51"/>
      <c r="N150" s="51"/>
      <c r="O150" s="72">
        <v>-1000</v>
      </c>
      <c r="P150" s="51">
        <v>268</v>
      </c>
      <c r="Q150" s="52">
        <f t="shared" si="68"/>
        <v>3268</v>
      </c>
      <c r="R150" s="50"/>
      <c r="S150" s="50"/>
      <c r="T150" s="50"/>
      <c r="U150" s="50"/>
      <c r="V150" s="50"/>
      <c r="W150" s="50"/>
      <c r="X150" s="50"/>
      <c r="Y150" s="50">
        <v>570</v>
      </c>
      <c r="Z150" s="50">
        <v>592</v>
      </c>
      <c r="AA150" s="50">
        <v>546</v>
      </c>
      <c r="AB150" s="50">
        <v>1560</v>
      </c>
      <c r="AC150" s="50"/>
      <c r="AD150" s="53">
        <f>SUM(R150:AC150)</f>
        <v>3268</v>
      </c>
      <c r="AE150" s="72">
        <f>Q150-AD150</f>
        <v>0</v>
      </c>
      <c r="AF150" s="616">
        <f>AD150*100/Q150</f>
        <v>100</v>
      </c>
    </row>
    <row r="151" spans="2:32" s="34" customFormat="1" ht="17.25" customHeight="1">
      <c r="B151" s="40"/>
      <c r="C151" s="48"/>
      <c r="D151" s="48">
        <v>4300</v>
      </c>
      <c r="E151" s="49" t="s">
        <v>1203</v>
      </c>
      <c r="F151" s="50">
        <v>37000</v>
      </c>
      <c r="G151" s="72">
        <v>-4500</v>
      </c>
      <c r="H151" s="51"/>
      <c r="I151" s="51"/>
      <c r="J151" s="51">
        <v>7100</v>
      </c>
      <c r="K151" s="51"/>
      <c r="L151" s="51"/>
      <c r="M151" s="51">
        <v>3000</v>
      </c>
      <c r="N151" s="51"/>
      <c r="O151" s="51">
        <v>5000</v>
      </c>
      <c r="P151" s="51">
        <v>5101</v>
      </c>
      <c r="Q151" s="52">
        <f t="shared" si="68"/>
        <v>52701</v>
      </c>
      <c r="R151" s="50">
        <v>5991.61</v>
      </c>
      <c r="S151" s="50">
        <v>6859.8</v>
      </c>
      <c r="T151" s="50">
        <v>4112.21</v>
      </c>
      <c r="U151" s="50">
        <v>5656.01</v>
      </c>
      <c r="V151" s="50">
        <v>6559.68</v>
      </c>
      <c r="W151" s="50">
        <v>3725.37</v>
      </c>
      <c r="X151" s="50">
        <v>2651.96</v>
      </c>
      <c r="Y151" s="50">
        <v>1401.08</v>
      </c>
      <c r="Z151" s="50">
        <v>4086.03</v>
      </c>
      <c r="AA151" s="50">
        <v>2394.3</v>
      </c>
      <c r="AB151" s="50">
        <v>3255.9</v>
      </c>
      <c r="AC151" s="50">
        <v>6005.61</v>
      </c>
      <c r="AD151" s="53">
        <f t="shared" si="69"/>
        <v>52699.560000000005</v>
      </c>
      <c r="AE151" s="50">
        <f t="shared" si="70"/>
        <v>1.4399999999950523</v>
      </c>
      <c r="AF151" s="616">
        <f t="shared" si="71"/>
        <v>99.9972676040303</v>
      </c>
    </row>
    <row r="152" spans="2:32" s="34" customFormat="1" ht="12.75">
      <c r="B152" s="40"/>
      <c r="C152" s="48"/>
      <c r="D152" s="48">
        <v>4350</v>
      </c>
      <c r="E152" s="49" t="s">
        <v>535</v>
      </c>
      <c r="F152" s="50">
        <v>5900</v>
      </c>
      <c r="G152" s="51"/>
      <c r="H152" s="51"/>
      <c r="I152" s="51"/>
      <c r="J152" s="72">
        <v>-2200</v>
      </c>
      <c r="K152" s="51"/>
      <c r="L152" s="51"/>
      <c r="M152" s="51"/>
      <c r="N152" s="51"/>
      <c r="O152" s="72">
        <v>-500</v>
      </c>
      <c r="P152" s="51">
        <v>60</v>
      </c>
      <c r="Q152" s="52">
        <f t="shared" si="68"/>
        <v>3260</v>
      </c>
      <c r="R152" s="50">
        <v>123.48</v>
      </c>
      <c r="S152" s="50">
        <v>477.04</v>
      </c>
      <c r="T152" s="50">
        <v>366.59</v>
      </c>
      <c r="U152" s="50">
        <v>195</v>
      </c>
      <c r="V152" s="50">
        <v>143.89</v>
      </c>
      <c r="W152" s="50">
        <v>113.21</v>
      </c>
      <c r="X152" s="50">
        <v>641.6</v>
      </c>
      <c r="Y152" s="50">
        <v>66</v>
      </c>
      <c r="Z152" s="50">
        <v>390</v>
      </c>
      <c r="AA152" s="50">
        <v>180.45</v>
      </c>
      <c r="AB152" s="50">
        <v>257.62</v>
      </c>
      <c r="AC152" s="50">
        <v>304.37</v>
      </c>
      <c r="AD152" s="53">
        <f t="shared" si="69"/>
        <v>3259.2499999999995</v>
      </c>
      <c r="AE152" s="50">
        <f t="shared" si="70"/>
        <v>0.7500000000004547</v>
      </c>
      <c r="AF152" s="616">
        <f t="shared" si="71"/>
        <v>99.97699386503065</v>
      </c>
    </row>
    <row r="153" spans="2:32" s="34" customFormat="1" ht="25.5">
      <c r="B153" s="40"/>
      <c r="C153" s="48"/>
      <c r="D153" s="48">
        <v>4360</v>
      </c>
      <c r="E153" s="49" t="s">
        <v>536</v>
      </c>
      <c r="F153" s="50"/>
      <c r="G153" s="51"/>
      <c r="H153" s="51"/>
      <c r="I153" s="51"/>
      <c r="J153" s="51">
        <v>1200</v>
      </c>
      <c r="K153" s="51"/>
      <c r="L153" s="51"/>
      <c r="M153" s="51">
        <v>1200</v>
      </c>
      <c r="N153" s="51"/>
      <c r="O153" s="72">
        <v>-150</v>
      </c>
      <c r="P153" s="72">
        <v>-38</v>
      </c>
      <c r="Q153" s="52">
        <f t="shared" si="68"/>
        <v>2212</v>
      </c>
      <c r="R153" s="50"/>
      <c r="S153" s="50"/>
      <c r="T153" s="50"/>
      <c r="U153" s="50"/>
      <c r="V153" s="50"/>
      <c r="W153" s="50">
        <v>245.81</v>
      </c>
      <c r="X153" s="50">
        <v>336.33</v>
      </c>
      <c r="Y153" s="50">
        <v>389.82</v>
      </c>
      <c r="Z153" s="50">
        <v>314.33</v>
      </c>
      <c r="AA153" s="50">
        <v>274.04</v>
      </c>
      <c r="AB153" s="50">
        <v>356.23</v>
      </c>
      <c r="AC153" s="50">
        <v>293.1</v>
      </c>
      <c r="AD153" s="53">
        <f t="shared" si="69"/>
        <v>2209.66</v>
      </c>
      <c r="AE153" s="50">
        <f>Q153-AD153</f>
        <v>2.3400000000001455</v>
      </c>
      <c r="AF153" s="616">
        <f>AD153*100/Q153</f>
        <v>99.89421338155515</v>
      </c>
    </row>
    <row r="154" spans="2:32" s="34" customFormat="1" ht="25.5">
      <c r="B154" s="40"/>
      <c r="C154" s="48"/>
      <c r="D154" s="48">
        <v>4370</v>
      </c>
      <c r="E154" s="49" t="s">
        <v>537</v>
      </c>
      <c r="F154" s="50">
        <v>9200</v>
      </c>
      <c r="G154" s="51"/>
      <c r="H154" s="51"/>
      <c r="I154" s="51"/>
      <c r="J154" s="51"/>
      <c r="K154" s="51"/>
      <c r="L154" s="51"/>
      <c r="M154" s="51"/>
      <c r="N154" s="51"/>
      <c r="O154" s="72">
        <v>-400</v>
      </c>
      <c r="P154" s="51">
        <v>78</v>
      </c>
      <c r="Q154" s="52">
        <f t="shared" si="68"/>
        <v>8878</v>
      </c>
      <c r="R154" s="50">
        <v>821.93</v>
      </c>
      <c r="S154" s="50">
        <v>1057.06</v>
      </c>
      <c r="T154" s="50">
        <v>987.13</v>
      </c>
      <c r="U154" s="50">
        <v>906.78</v>
      </c>
      <c r="V154" s="50">
        <v>936.28</v>
      </c>
      <c r="W154" s="50">
        <v>1086.24</v>
      </c>
      <c r="X154" s="50">
        <v>742.64</v>
      </c>
      <c r="Y154" s="50">
        <v>230.83</v>
      </c>
      <c r="Z154" s="50">
        <v>318.18</v>
      </c>
      <c r="AA154" s="50">
        <v>560.53</v>
      </c>
      <c r="AB154" s="50">
        <v>697.37</v>
      </c>
      <c r="AC154" s="50">
        <v>530.97</v>
      </c>
      <c r="AD154" s="53">
        <f>SUM(R154:AC154)</f>
        <v>8875.939999999999</v>
      </c>
      <c r="AE154" s="50">
        <f>Q154-AD154</f>
        <v>2.0600000000013097</v>
      </c>
      <c r="AF154" s="616">
        <f>AD154*100/Q154</f>
        <v>99.97679657580535</v>
      </c>
    </row>
    <row r="155" spans="2:32" s="34" customFormat="1" ht="12.75">
      <c r="B155" s="40"/>
      <c r="C155" s="48"/>
      <c r="D155" s="48">
        <v>4410</v>
      </c>
      <c r="E155" s="49" t="s">
        <v>528</v>
      </c>
      <c r="F155" s="50">
        <v>5400</v>
      </c>
      <c r="G155" s="51"/>
      <c r="H155" s="51"/>
      <c r="I155" s="51"/>
      <c r="J155" s="72">
        <v>-200</v>
      </c>
      <c r="K155" s="51"/>
      <c r="L155" s="51"/>
      <c r="M155" s="72">
        <v>-1000</v>
      </c>
      <c r="N155" s="72"/>
      <c r="O155" s="51">
        <v>1000</v>
      </c>
      <c r="P155" s="72">
        <v>-3</v>
      </c>
      <c r="Q155" s="52">
        <f t="shared" si="68"/>
        <v>5197</v>
      </c>
      <c r="R155" s="50">
        <v>12.8</v>
      </c>
      <c r="S155" s="50">
        <v>200.04</v>
      </c>
      <c r="T155" s="50">
        <v>983.43</v>
      </c>
      <c r="U155" s="50">
        <v>459.54</v>
      </c>
      <c r="V155" s="50">
        <v>773.1</v>
      </c>
      <c r="W155" s="50">
        <v>70.62</v>
      </c>
      <c r="X155" s="50">
        <v>296.32</v>
      </c>
      <c r="Y155" s="50">
        <v>87.6</v>
      </c>
      <c r="Z155" s="50">
        <v>397.03</v>
      </c>
      <c r="AA155" s="50">
        <v>1018.96</v>
      </c>
      <c r="AB155" s="50">
        <v>665.34</v>
      </c>
      <c r="AC155" s="50">
        <v>230.41</v>
      </c>
      <c r="AD155" s="53">
        <f t="shared" si="69"/>
        <v>5195.19</v>
      </c>
      <c r="AE155" s="50">
        <f t="shared" si="70"/>
        <v>1.8100000000004002</v>
      </c>
      <c r="AF155" s="616">
        <f t="shared" si="71"/>
        <v>99.96517221473925</v>
      </c>
    </row>
    <row r="156" spans="2:32" s="34" customFormat="1" ht="12.75">
      <c r="B156" s="40"/>
      <c r="C156" s="48"/>
      <c r="D156" s="48">
        <v>4430</v>
      </c>
      <c r="E156" s="49" t="s">
        <v>585</v>
      </c>
      <c r="F156" s="50">
        <v>3500</v>
      </c>
      <c r="G156" s="51"/>
      <c r="H156" s="51"/>
      <c r="I156" s="51"/>
      <c r="J156" s="72">
        <v>-1000</v>
      </c>
      <c r="K156" s="51"/>
      <c r="L156" s="51"/>
      <c r="M156" s="51"/>
      <c r="N156" s="51"/>
      <c r="O156" s="72">
        <v>-1120</v>
      </c>
      <c r="P156" s="72">
        <v>-1</v>
      </c>
      <c r="Q156" s="52">
        <f t="shared" si="68"/>
        <v>1379</v>
      </c>
      <c r="R156" s="50"/>
      <c r="S156" s="50">
        <v>1379</v>
      </c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3">
        <f t="shared" si="69"/>
        <v>1379</v>
      </c>
      <c r="AE156" s="50">
        <f t="shared" si="70"/>
        <v>0</v>
      </c>
      <c r="AF156" s="616">
        <f t="shared" si="71"/>
        <v>100</v>
      </c>
    </row>
    <row r="157" spans="2:32" s="34" customFormat="1" ht="18" customHeight="1">
      <c r="B157" s="40"/>
      <c r="C157" s="48"/>
      <c r="D157" s="48">
        <v>4440</v>
      </c>
      <c r="E157" s="49" t="s">
        <v>538</v>
      </c>
      <c r="F157" s="50">
        <v>97490</v>
      </c>
      <c r="G157" s="51"/>
      <c r="H157" s="51"/>
      <c r="I157" s="51"/>
      <c r="J157" s="51"/>
      <c r="K157" s="51"/>
      <c r="L157" s="51"/>
      <c r="M157" s="51"/>
      <c r="N157" s="51"/>
      <c r="O157" s="72">
        <v>-590</v>
      </c>
      <c r="P157" s="72"/>
      <c r="Q157" s="52">
        <f t="shared" si="68"/>
        <v>96900</v>
      </c>
      <c r="R157" s="50"/>
      <c r="S157" s="50"/>
      <c r="T157" s="50">
        <v>73117.5</v>
      </c>
      <c r="U157" s="50"/>
      <c r="V157" s="50"/>
      <c r="W157" s="50"/>
      <c r="X157" s="50"/>
      <c r="Y157" s="50"/>
      <c r="Z157" s="50">
        <v>24372.5</v>
      </c>
      <c r="AA157" s="50"/>
      <c r="AB157" s="50">
        <v>-590</v>
      </c>
      <c r="AC157" s="50"/>
      <c r="AD157" s="53">
        <f t="shared" si="69"/>
        <v>96900</v>
      </c>
      <c r="AE157" s="50">
        <f t="shared" si="70"/>
        <v>0</v>
      </c>
      <c r="AF157" s="616">
        <f t="shared" si="71"/>
        <v>100</v>
      </c>
    </row>
    <row r="158" spans="2:32" s="34" customFormat="1" ht="25.5">
      <c r="B158" s="40"/>
      <c r="C158" s="48"/>
      <c r="D158" s="48">
        <v>4740</v>
      </c>
      <c r="E158" s="49" t="s">
        <v>497</v>
      </c>
      <c r="F158" s="50">
        <v>16000</v>
      </c>
      <c r="G158" s="51"/>
      <c r="H158" s="51"/>
      <c r="I158" s="51"/>
      <c r="J158" s="72">
        <v>-15100</v>
      </c>
      <c r="K158" s="51">
        <v>594</v>
      </c>
      <c r="L158" s="51"/>
      <c r="M158" s="51">
        <v>1000</v>
      </c>
      <c r="N158" s="51"/>
      <c r="O158" s="72">
        <v>-600</v>
      </c>
      <c r="P158" s="72">
        <v>-617</v>
      </c>
      <c r="Q158" s="52">
        <f t="shared" si="68"/>
        <v>1277</v>
      </c>
      <c r="R158" s="50">
        <v>388.04</v>
      </c>
      <c r="S158" s="50">
        <v>287.15</v>
      </c>
      <c r="T158" s="50">
        <v>134.24</v>
      </c>
      <c r="U158" s="50">
        <v>410.99</v>
      </c>
      <c r="V158" s="50">
        <v>243</v>
      </c>
      <c r="W158" s="72">
        <v>-600.64</v>
      </c>
      <c r="X158" s="50"/>
      <c r="Y158" s="50">
        <v>352.48</v>
      </c>
      <c r="Z158" s="50"/>
      <c r="AA158" s="50">
        <v>104.19</v>
      </c>
      <c r="AB158" s="50">
        <v>271.18</v>
      </c>
      <c r="AC158" s="72">
        <v>-315.04</v>
      </c>
      <c r="AD158" s="53">
        <f>SUM(R158:AC158)</f>
        <v>1275.5900000000004</v>
      </c>
      <c r="AE158" s="72">
        <f>Q158-AD158</f>
        <v>1.409999999999627</v>
      </c>
      <c r="AF158" s="616">
        <f>AD158*100/Q158</f>
        <v>99.8895849647612</v>
      </c>
    </row>
    <row r="159" spans="2:32" s="34" customFormat="1" ht="25.5">
      <c r="B159" s="40"/>
      <c r="C159" s="48"/>
      <c r="D159" s="48">
        <v>6060</v>
      </c>
      <c r="E159" s="49" t="s">
        <v>396</v>
      </c>
      <c r="F159" s="50"/>
      <c r="G159" s="51"/>
      <c r="H159" s="51"/>
      <c r="I159" s="51"/>
      <c r="J159" s="51">
        <v>6427</v>
      </c>
      <c r="K159" s="72">
        <v>-94</v>
      </c>
      <c r="L159" s="51"/>
      <c r="M159" s="51">
        <v>8000</v>
      </c>
      <c r="N159" s="51"/>
      <c r="O159" s="51">
        <v>2000</v>
      </c>
      <c r="P159" s="51"/>
      <c r="Q159" s="52">
        <f t="shared" si="68"/>
        <v>16333</v>
      </c>
      <c r="R159" s="50"/>
      <c r="S159" s="50"/>
      <c r="T159" s="50"/>
      <c r="U159" s="50"/>
      <c r="V159" s="50"/>
      <c r="W159" s="50">
        <v>6332.93</v>
      </c>
      <c r="X159" s="50"/>
      <c r="Y159" s="50"/>
      <c r="Z159" s="50"/>
      <c r="AA159" s="50">
        <v>9999.99</v>
      </c>
      <c r="AB159" s="50"/>
      <c r="AC159" s="50"/>
      <c r="AD159" s="53">
        <f>SUM(R159:AC159)</f>
        <v>16332.92</v>
      </c>
      <c r="AE159" s="50">
        <f>Q159-AD159</f>
        <v>0.07999999999992724</v>
      </c>
      <c r="AF159" s="616">
        <f>AD159*100/Q159</f>
        <v>99.99951019408559</v>
      </c>
    </row>
    <row r="160" spans="2:32" s="34" customFormat="1" ht="12.75">
      <c r="B160" s="40"/>
      <c r="C160" s="42">
        <v>80103</v>
      </c>
      <c r="D160" s="42"/>
      <c r="E160" s="43" t="s">
        <v>586</v>
      </c>
      <c r="F160" s="44">
        <f>SUM(F161:F175)</f>
        <v>297850</v>
      </c>
      <c r="G160" s="45">
        <f aca="true" t="shared" si="72" ref="G160:Z160">SUM(G161:G175)</f>
        <v>0</v>
      </c>
      <c r="H160" s="45">
        <f t="shared" si="72"/>
        <v>0</v>
      </c>
      <c r="I160" s="45">
        <f t="shared" si="72"/>
        <v>0</v>
      </c>
      <c r="J160" s="45">
        <f t="shared" si="72"/>
        <v>0</v>
      </c>
      <c r="K160" s="45">
        <f t="shared" si="72"/>
        <v>70000</v>
      </c>
      <c r="L160" s="45">
        <f t="shared" si="72"/>
        <v>0</v>
      </c>
      <c r="M160" s="45">
        <f t="shared" si="72"/>
        <v>0</v>
      </c>
      <c r="N160" s="45">
        <f t="shared" si="72"/>
        <v>0</v>
      </c>
      <c r="O160" s="70">
        <f t="shared" si="72"/>
        <v>-21566</v>
      </c>
      <c r="P160" s="70">
        <f t="shared" si="72"/>
        <v>-6273</v>
      </c>
      <c r="Q160" s="46">
        <f t="shared" si="72"/>
        <v>340011</v>
      </c>
      <c r="R160" s="44">
        <f t="shared" si="72"/>
        <v>24073.67</v>
      </c>
      <c r="S160" s="44">
        <f t="shared" si="72"/>
        <v>26727.950000000004</v>
      </c>
      <c r="T160" s="44">
        <f t="shared" si="72"/>
        <v>47071.51999999999</v>
      </c>
      <c r="U160" s="44">
        <f t="shared" si="72"/>
        <v>36105.86</v>
      </c>
      <c r="V160" s="44">
        <f t="shared" si="72"/>
        <v>28291.67</v>
      </c>
      <c r="W160" s="44">
        <f t="shared" si="72"/>
        <v>32839.89</v>
      </c>
      <c r="X160" s="44">
        <f t="shared" si="72"/>
        <v>25218.309999999998</v>
      </c>
      <c r="Y160" s="44">
        <f>SUM(Y161:Y175)</f>
        <v>21669.079999999998</v>
      </c>
      <c r="Z160" s="44">
        <f t="shared" si="72"/>
        <v>25733.670000000002</v>
      </c>
      <c r="AA160" s="44">
        <f>SUM(AA161:AA175)</f>
        <v>24491.359999999997</v>
      </c>
      <c r="AB160" s="44">
        <f>SUM(AB161:AB175)</f>
        <v>22919.31</v>
      </c>
      <c r="AC160" s="44">
        <f>SUM(AC161:AC175)</f>
        <v>24858.58</v>
      </c>
      <c r="AD160" s="44">
        <f>SUM(AD161:AD175)</f>
        <v>340000.86999999994</v>
      </c>
      <c r="AE160" s="44">
        <f>SUM(AE161:AE175)</f>
        <v>10.130000000052497</v>
      </c>
      <c r="AF160" s="615">
        <f t="shared" si="71"/>
        <v>99.99702068462489</v>
      </c>
    </row>
    <row r="161" spans="2:32" s="34" customFormat="1" ht="25.5">
      <c r="B161" s="40"/>
      <c r="C161" s="48"/>
      <c r="D161" s="48">
        <v>3020</v>
      </c>
      <c r="E161" s="49" t="s">
        <v>530</v>
      </c>
      <c r="F161" s="50">
        <v>10900</v>
      </c>
      <c r="G161" s="51"/>
      <c r="H161" s="51"/>
      <c r="I161" s="51"/>
      <c r="J161" s="51"/>
      <c r="K161" s="51"/>
      <c r="L161" s="51"/>
      <c r="M161" s="51"/>
      <c r="N161" s="51"/>
      <c r="O161" s="72">
        <v>-1000</v>
      </c>
      <c r="P161" s="51">
        <v>168</v>
      </c>
      <c r="Q161" s="52">
        <f aca="true" t="shared" si="73" ref="Q161:Q175">F161+G161+H161+I161+J161+K161+L161+M161+N161+O161+P161</f>
        <v>10068</v>
      </c>
      <c r="R161" s="50">
        <v>904.99</v>
      </c>
      <c r="S161" s="50">
        <v>738.77</v>
      </c>
      <c r="T161" s="50">
        <v>667.62</v>
      </c>
      <c r="U161" s="50">
        <v>838.95</v>
      </c>
      <c r="V161" s="50">
        <v>941.73</v>
      </c>
      <c r="W161" s="50">
        <v>904.63</v>
      </c>
      <c r="X161" s="50">
        <v>781.89</v>
      </c>
      <c r="Y161" s="50">
        <v>728.6</v>
      </c>
      <c r="Z161" s="50">
        <v>673.04</v>
      </c>
      <c r="AA161" s="50">
        <v>723.89</v>
      </c>
      <c r="AB161" s="50">
        <v>1515.39</v>
      </c>
      <c r="AC161" s="50">
        <v>647.4</v>
      </c>
      <c r="AD161" s="53">
        <f aca="true" t="shared" si="74" ref="AD161:AD174">SUM(R161:AC161)</f>
        <v>10066.9</v>
      </c>
      <c r="AE161" s="50">
        <f aca="true" t="shared" si="75" ref="AE161:AE174">Q161-AD161</f>
        <v>1.1000000000003638</v>
      </c>
      <c r="AF161" s="616">
        <f t="shared" si="71"/>
        <v>99.98907429479539</v>
      </c>
    </row>
    <row r="162" spans="2:32" s="34" customFormat="1" ht="12.75">
      <c r="B162" s="40"/>
      <c r="C162" s="48"/>
      <c r="D162" s="48">
        <v>4010</v>
      </c>
      <c r="E162" s="49" t="s">
        <v>524</v>
      </c>
      <c r="F162" s="50">
        <v>187600</v>
      </c>
      <c r="G162" s="51"/>
      <c r="H162" s="51"/>
      <c r="I162" s="51"/>
      <c r="J162" s="51">
        <v>1290</v>
      </c>
      <c r="K162" s="51">
        <v>70000</v>
      </c>
      <c r="L162" s="51"/>
      <c r="M162" s="72">
        <v>-6000</v>
      </c>
      <c r="N162" s="72"/>
      <c r="O162" s="72">
        <v>-20000</v>
      </c>
      <c r="P162" s="72">
        <v>-1248</v>
      </c>
      <c r="Q162" s="52">
        <f t="shared" si="73"/>
        <v>231642</v>
      </c>
      <c r="R162" s="50">
        <v>19520.73</v>
      </c>
      <c r="S162" s="50">
        <v>19376.66</v>
      </c>
      <c r="T162" s="50">
        <v>21906.28</v>
      </c>
      <c r="U162" s="50">
        <v>20438.05</v>
      </c>
      <c r="V162" s="50">
        <v>21906.98</v>
      </c>
      <c r="W162" s="50">
        <v>22383.16</v>
      </c>
      <c r="X162" s="50">
        <v>19386.04</v>
      </c>
      <c r="Y162" s="50">
        <v>16479.75</v>
      </c>
      <c r="Z162" s="50">
        <v>17004.93</v>
      </c>
      <c r="AA162" s="50">
        <v>18813.55</v>
      </c>
      <c r="AB162" s="50">
        <v>16888.74</v>
      </c>
      <c r="AC162" s="50">
        <v>17535.55</v>
      </c>
      <c r="AD162" s="53">
        <f t="shared" si="74"/>
        <v>231640.41999999995</v>
      </c>
      <c r="AE162" s="50">
        <f t="shared" si="75"/>
        <v>1.580000000045402</v>
      </c>
      <c r="AF162" s="616">
        <f t="shared" si="71"/>
        <v>99.9993179129864</v>
      </c>
    </row>
    <row r="163" spans="2:32" s="34" customFormat="1" ht="12.75">
      <c r="B163" s="40"/>
      <c r="C163" s="48"/>
      <c r="D163" s="48">
        <v>4040</v>
      </c>
      <c r="E163" s="49" t="s">
        <v>531</v>
      </c>
      <c r="F163" s="50">
        <v>14750</v>
      </c>
      <c r="G163" s="51"/>
      <c r="H163" s="51"/>
      <c r="I163" s="51"/>
      <c r="J163" s="51">
        <v>1050</v>
      </c>
      <c r="K163" s="51"/>
      <c r="L163" s="51"/>
      <c r="M163" s="51"/>
      <c r="N163" s="51"/>
      <c r="O163" s="51"/>
      <c r="P163" s="51"/>
      <c r="Q163" s="52">
        <f t="shared" si="73"/>
        <v>15800</v>
      </c>
      <c r="R163" s="50"/>
      <c r="S163" s="50"/>
      <c r="T163" s="50">
        <v>10232.11</v>
      </c>
      <c r="U163" s="50">
        <v>5567.49</v>
      </c>
      <c r="V163" s="50"/>
      <c r="W163" s="50"/>
      <c r="X163" s="50"/>
      <c r="Y163" s="50"/>
      <c r="Z163" s="50"/>
      <c r="AA163" s="50"/>
      <c r="AB163" s="50"/>
      <c r="AC163" s="50"/>
      <c r="AD163" s="53">
        <f t="shared" si="74"/>
        <v>15799.6</v>
      </c>
      <c r="AE163" s="50">
        <f t="shared" si="75"/>
        <v>0.3999999999996362</v>
      </c>
      <c r="AF163" s="616">
        <f t="shared" si="71"/>
        <v>99.99746835443038</v>
      </c>
    </row>
    <row r="164" spans="2:32" s="34" customFormat="1" ht="12.75">
      <c r="B164" s="40"/>
      <c r="C164" s="48"/>
      <c r="D164" s="48">
        <v>4110</v>
      </c>
      <c r="E164" s="49" t="s">
        <v>525</v>
      </c>
      <c r="F164" s="50">
        <v>41050</v>
      </c>
      <c r="G164" s="51"/>
      <c r="H164" s="51"/>
      <c r="I164" s="51"/>
      <c r="J164" s="51"/>
      <c r="K164" s="51"/>
      <c r="L164" s="51"/>
      <c r="M164" s="51">
        <v>4000</v>
      </c>
      <c r="N164" s="51"/>
      <c r="O164" s="72">
        <v>-1000</v>
      </c>
      <c r="P164" s="72">
        <v>-1161</v>
      </c>
      <c r="Q164" s="52">
        <f t="shared" si="73"/>
        <v>42889</v>
      </c>
      <c r="R164" s="50">
        <v>2350.53</v>
      </c>
      <c r="S164" s="50">
        <v>3884.31</v>
      </c>
      <c r="T164" s="50">
        <v>3320.74</v>
      </c>
      <c r="U164" s="50">
        <v>6113.91</v>
      </c>
      <c r="V164" s="50">
        <v>3703.58</v>
      </c>
      <c r="W164" s="50">
        <v>3995.57</v>
      </c>
      <c r="X164" s="50">
        <v>3861.16</v>
      </c>
      <c r="Y164" s="50">
        <v>3266.64</v>
      </c>
      <c r="Z164" s="50">
        <v>3126.34</v>
      </c>
      <c r="AA164" s="50">
        <v>3211.34</v>
      </c>
      <c r="AB164" s="50">
        <v>3250.56</v>
      </c>
      <c r="AC164" s="50">
        <v>2802.79</v>
      </c>
      <c r="AD164" s="53">
        <f t="shared" si="74"/>
        <v>42887.469999999994</v>
      </c>
      <c r="AE164" s="50">
        <f t="shared" si="75"/>
        <v>1.5300000000061118</v>
      </c>
      <c r="AF164" s="616">
        <f t="shared" si="71"/>
        <v>99.99643265172887</v>
      </c>
    </row>
    <row r="165" spans="2:32" s="34" customFormat="1" ht="12.75">
      <c r="B165" s="40"/>
      <c r="C165" s="48"/>
      <c r="D165" s="48">
        <v>4120</v>
      </c>
      <c r="E165" s="49" t="s">
        <v>532</v>
      </c>
      <c r="F165" s="50">
        <v>4550</v>
      </c>
      <c r="G165" s="51"/>
      <c r="H165" s="51"/>
      <c r="I165" s="51"/>
      <c r="J165" s="51"/>
      <c r="K165" s="51"/>
      <c r="L165" s="51"/>
      <c r="M165" s="51">
        <v>2000</v>
      </c>
      <c r="N165" s="51"/>
      <c r="O165" s="72">
        <v>-400</v>
      </c>
      <c r="P165" s="72">
        <v>-213</v>
      </c>
      <c r="Q165" s="52">
        <f t="shared" si="73"/>
        <v>5937</v>
      </c>
      <c r="R165" s="50">
        <v>361.35</v>
      </c>
      <c r="S165" s="50">
        <v>481.83</v>
      </c>
      <c r="T165" s="50">
        <v>469.2</v>
      </c>
      <c r="U165" s="50">
        <v>863.85</v>
      </c>
      <c r="V165" s="50">
        <v>505.96</v>
      </c>
      <c r="W165" s="50">
        <v>581.88</v>
      </c>
      <c r="X165" s="50">
        <v>545.54</v>
      </c>
      <c r="Y165" s="50">
        <v>450.81</v>
      </c>
      <c r="Z165" s="50">
        <v>407.63</v>
      </c>
      <c r="AA165" s="50">
        <v>412.27</v>
      </c>
      <c r="AB165" s="50">
        <v>459.28</v>
      </c>
      <c r="AC165" s="50">
        <v>395.98</v>
      </c>
      <c r="AD165" s="53">
        <f t="shared" si="74"/>
        <v>5935.58</v>
      </c>
      <c r="AE165" s="50">
        <f t="shared" si="75"/>
        <v>1.4200000000000728</v>
      </c>
      <c r="AF165" s="616">
        <f t="shared" si="71"/>
        <v>99.97608219639548</v>
      </c>
    </row>
    <row r="166" spans="2:32" s="34" customFormat="1" ht="12.75">
      <c r="B166" s="40"/>
      <c r="C166" s="48"/>
      <c r="D166" s="48">
        <v>4210</v>
      </c>
      <c r="E166" s="49" t="s">
        <v>1201</v>
      </c>
      <c r="F166" s="50">
        <v>4400</v>
      </c>
      <c r="G166" s="51"/>
      <c r="H166" s="51"/>
      <c r="I166" s="51"/>
      <c r="J166" s="51">
        <v>3260</v>
      </c>
      <c r="K166" s="51"/>
      <c r="L166" s="51"/>
      <c r="M166" s="51"/>
      <c r="N166" s="51"/>
      <c r="O166" s="51"/>
      <c r="P166" s="72">
        <v>-1046</v>
      </c>
      <c r="Q166" s="52">
        <f t="shared" si="73"/>
        <v>6614</v>
      </c>
      <c r="R166" s="50">
        <v>402.96</v>
      </c>
      <c r="S166" s="50">
        <v>499</v>
      </c>
      <c r="T166" s="50"/>
      <c r="U166" s="50">
        <v>540.66</v>
      </c>
      <c r="V166" s="50">
        <v>379.36</v>
      </c>
      <c r="W166" s="50">
        <v>3569.67</v>
      </c>
      <c r="X166" s="50"/>
      <c r="Y166" s="50"/>
      <c r="Z166" s="50">
        <v>834.35</v>
      </c>
      <c r="AA166" s="50">
        <v>37.01</v>
      </c>
      <c r="AB166" s="50">
        <v>350.54</v>
      </c>
      <c r="AC166" s="50"/>
      <c r="AD166" s="53">
        <f t="shared" si="74"/>
        <v>6613.55</v>
      </c>
      <c r="AE166" s="50">
        <f t="shared" si="75"/>
        <v>0.4499999999998181</v>
      </c>
      <c r="AF166" s="616">
        <f t="shared" si="71"/>
        <v>99.99319625037799</v>
      </c>
    </row>
    <row r="167" spans="2:32" s="34" customFormat="1" ht="12.75">
      <c r="B167" s="40"/>
      <c r="C167" s="48"/>
      <c r="D167" s="48">
        <v>4240</v>
      </c>
      <c r="E167" s="49" t="s">
        <v>584</v>
      </c>
      <c r="F167" s="50">
        <v>2600</v>
      </c>
      <c r="G167" s="51"/>
      <c r="H167" s="51"/>
      <c r="I167" s="51"/>
      <c r="J167" s="51"/>
      <c r="K167" s="51"/>
      <c r="L167" s="51"/>
      <c r="M167" s="51"/>
      <c r="N167" s="51"/>
      <c r="O167" s="72">
        <v>-1000</v>
      </c>
      <c r="P167" s="72">
        <v>-914</v>
      </c>
      <c r="Q167" s="52">
        <f t="shared" si="73"/>
        <v>686</v>
      </c>
      <c r="R167" s="50">
        <v>34</v>
      </c>
      <c r="S167" s="50">
        <v>280.15</v>
      </c>
      <c r="T167" s="50">
        <v>42.9</v>
      </c>
      <c r="U167" s="50"/>
      <c r="V167" s="50">
        <v>138.48</v>
      </c>
      <c r="W167" s="50">
        <v>92.34</v>
      </c>
      <c r="X167" s="50"/>
      <c r="Y167" s="50"/>
      <c r="Z167" s="50">
        <v>97.2</v>
      </c>
      <c r="AA167" s="50"/>
      <c r="AB167" s="50"/>
      <c r="AC167" s="50"/>
      <c r="AD167" s="53">
        <f t="shared" si="74"/>
        <v>685.07</v>
      </c>
      <c r="AE167" s="50">
        <f t="shared" si="75"/>
        <v>0.92999999999995</v>
      </c>
      <c r="AF167" s="616">
        <f t="shared" si="71"/>
        <v>99.86443148688046</v>
      </c>
    </row>
    <row r="168" spans="2:32" s="34" customFormat="1" ht="12.75">
      <c r="B168" s="40"/>
      <c r="C168" s="48"/>
      <c r="D168" s="48">
        <v>4260</v>
      </c>
      <c r="E168" s="49" t="s">
        <v>527</v>
      </c>
      <c r="F168" s="50">
        <v>7000</v>
      </c>
      <c r="G168" s="51"/>
      <c r="H168" s="51"/>
      <c r="I168" s="51"/>
      <c r="J168" s="51"/>
      <c r="K168" s="51"/>
      <c r="L168" s="51"/>
      <c r="M168" s="51"/>
      <c r="N168" s="51"/>
      <c r="O168" s="51"/>
      <c r="P168" s="72">
        <v>-597</v>
      </c>
      <c r="Q168" s="52">
        <f t="shared" si="73"/>
        <v>6403</v>
      </c>
      <c r="R168" s="50">
        <v>168</v>
      </c>
      <c r="S168" s="50">
        <v>1213.19</v>
      </c>
      <c r="T168" s="50">
        <v>226.41</v>
      </c>
      <c r="U168" s="50">
        <v>908.43</v>
      </c>
      <c r="V168" s="50">
        <v>184.97</v>
      </c>
      <c r="W168" s="50">
        <v>1040.76</v>
      </c>
      <c r="X168" s="50">
        <v>129.87</v>
      </c>
      <c r="Y168" s="50">
        <v>573.02</v>
      </c>
      <c r="Z168" s="50">
        <v>75.96</v>
      </c>
      <c r="AA168" s="50">
        <v>714.04</v>
      </c>
      <c r="AB168" s="50">
        <v>154.61</v>
      </c>
      <c r="AC168" s="50">
        <v>1013.66</v>
      </c>
      <c r="AD168" s="53">
        <f t="shared" si="74"/>
        <v>6402.919999999999</v>
      </c>
      <c r="AE168" s="50">
        <f t="shared" si="75"/>
        <v>0.08000000000083674</v>
      </c>
      <c r="AF168" s="616">
        <f t="shared" si="71"/>
        <v>99.99875058566295</v>
      </c>
    </row>
    <row r="169" spans="2:32" s="34" customFormat="1" ht="12.75">
      <c r="B169" s="40"/>
      <c r="C169" s="48"/>
      <c r="D169" s="48">
        <v>4270</v>
      </c>
      <c r="E169" s="49" t="s">
        <v>1202</v>
      </c>
      <c r="F169" s="50">
        <v>2000</v>
      </c>
      <c r="G169" s="51"/>
      <c r="H169" s="51"/>
      <c r="I169" s="51"/>
      <c r="J169" s="72">
        <v>-1500</v>
      </c>
      <c r="K169" s="51"/>
      <c r="L169" s="51"/>
      <c r="M169" s="72">
        <v>-200</v>
      </c>
      <c r="N169" s="72"/>
      <c r="O169" s="72">
        <v>-200</v>
      </c>
      <c r="P169" s="72">
        <v>-100</v>
      </c>
      <c r="Q169" s="52">
        <f t="shared" si="73"/>
        <v>0</v>
      </c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3">
        <f t="shared" si="74"/>
        <v>0</v>
      </c>
      <c r="AE169" s="50">
        <f t="shared" si="75"/>
        <v>0</v>
      </c>
      <c r="AF169" s="616"/>
    </row>
    <row r="170" spans="2:32" s="34" customFormat="1" ht="16.5" customHeight="1">
      <c r="B170" s="40"/>
      <c r="C170" s="48"/>
      <c r="D170" s="48">
        <v>4280</v>
      </c>
      <c r="E170" s="49" t="s">
        <v>534</v>
      </c>
      <c r="F170" s="50">
        <v>700</v>
      </c>
      <c r="G170" s="51"/>
      <c r="H170" s="51"/>
      <c r="I170" s="51"/>
      <c r="J170" s="51"/>
      <c r="K170" s="51"/>
      <c r="L170" s="51"/>
      <c r="M170" s="51"/>
      <c r="N170" s="51"/>
      <c r="O170" s="72">
        <v>-500</v>
      </c>
      <c r="P170" s="72">
        <v>-200</v>
      </c>
      <c r="Q170" s="52">
        <f t="shared" si="73"/>
        <v>0</v>
      </c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3">
        <f>SUM(R170:AC170)</f>
        <v>0</v>
      </c>
      <c r="AE170" s="50">
        <f>Q170-AD170</f>
        <v>0</v>
      </c>
      <c r="AF170" s="616"/>
    </row>
    <row r="171" spans="2:32" s="34" customFormat="1" ht="12.75">
      <c r="B171" s="40"/>
      <c r="C171" s="48"/>
      <c r="D171" s="48">
        <v>4300</v>
      </c>
      <c r="E171" s="49" t="s">
        <v>1203</v>
      </c>
      <c r="F171" s="50">
        <v>2800</v>
      </c>
      <c r="G171" s="51"/>
      <c r="H171" s="51"/>
      <c r="I171" s="51"/>
      <c r="J171" s="51"/>
      <c r="K171" s="51"/>
      <c r="L171" s="51"/>
      <c r="M171" s="51"/>
      <c r="N171" s="51"/>
      <c r="O171" s="51">
        <v>200</v>
      </c>
      <c r="P171" s="72">
        <v>-581</v>
      </c>
      <c r="Q171" s="52">
        <f t="shared" si="73"/>
        <v>2419</v>
      </c>
      <c r="R171" s="50">
        <v>134.43</v>
      </c>
      <c r="S171" s="50">
        <v>9</v>
      </c>
      <c r="T171" s="50">
        <v>200</v>
      </c>
      <c r="U171" s="50">
        <v>583.91</v>
      </c>
      <c r="V171" s="50">
        <v>349.17</v>
      </c>
      <c r="W171" s="50">
        <v>143.23</v>
      </c>
      <c r="X171" s="50">
        <v>172.75</v>
      </c>
      <c r="Y171" s="50">
        <v>124.6</v>
      </c>
      <c r="Z171" s="50">
        <v>111.13</v>
      </c>
      <c r="AA171" s="50">
        <v>411.76</v>
      </c>
      <c r="AB171" s="50">
        <v>92.5</v>
      </c>
      <c r="AC171" s="50">
        <v>85.88</v>
      </c>
      <c r="AD171" s="53">
        <f t="shared" si="74"/>
        <v>2418.3599999999997</v>
      </c>
      <c r="AE171" s="50">
        <f t="shared" si="75"/>
        <v>0.6400000000003274</v>
      </c>
      <c r="AF171" s="616">
        <f t="shared" si="71"/>
        <v>99.9735427862753</v>
      </c>
    </row>
    <row r="172" spans="2:32" s="34" customFormat="1" ht="25.5">
      <c r="B172" s="40"/>
      <c r="C172" s="48"/>
      <c r="D172" s="48">
        <v>4370</v>
      </c>
      <c r="E172" s="49" t="s">
        <v>537</v>
      </c>
      <c r="F172" s="50">
        <v>1000</v>
      </c>
      <c r="G172" s="51"/>
      <c r="H172" s="51"/>
      <c r="I172" s="51"/>
      <c r="J172" s="51"/>
      <c r="K172" s="51"/>
      <c r="L172" s="51"/>
      <c r="M172" s="51"/>
      <c r="N172" s="51"/>
      <c r="O172" s="51">
        <v>100</v>
      </c>
      <c r="P172" s="51">
        <v>56</v>
      </c>
      <c r="Q172" s="52">
        <f t="shared" si="73"/>
        <v>1156</v>
      </c>
      <c r="R172" s="50">
        <v>42.7</v>
      </c>
      <c r="S172" s="50">
        <v>99.82</v>
      </c>
      <c r="T172" s="50">
        <v>123.27</v>
      </c>
      <c r="U172" s="50">
        <v>98.36</v>
      </c>
      <c r="V172" s="50">
        <v>103.12</v>
      </c>
      <c r="W172" s="50">
        <v>128.65</v>
      </c>
      <c r="X172" s="50">
        <v>89.05</v>
      </c>
      <c r="Y172" s="50">
        <v>45.66</v>
      </c>
      <c r="Z172" s="50">
        <v>125.32</v>
      </c>
      <c r="AA172" s="50">
        <v>73.42</v>
      </c>
      <c r="AB172" s="50">
        <v>119.3</v>
      </c>
      <c r="AC172" s="50">
        <v>106.39</v>
      </c>
      <c r="AD172" s="53">
        <f t="shared" si="74"/>
        <v>1155.06</v>
      </c>
      <c r="AE172" s="50">
        <f t="shared" si="75"/>
        <v>0.9400000000000546</v>
      </c>
      <c r="AF172" s="616">
        <f t="shared" si="71"/>
        <v>99.91868512110727</v>
      </c>
    </row>
    <row r="173" spans="2:32" s="34" customFormat="1" ht="12.75">
      <c r="B173" s="40"/>
      <c r="C173" s="48"/>
      <c r="D173" s="48">
        <v>4410</v>
      </c>
      <c r="E173" s="49" t="s">
        <v>528</v>
      </c>
      <c r="F173" s="50">
        <v>1000</v>
      </c>
      <c r="G173" s="51"/>
      <c r="H173" s="51"/>
      <c r="I173" s="51"/>
      <c r="J173" s="51"/>
      <c r="K173" s="51"/>
      <c r="L173" s="51"/>
      <c r="M173" s="51">
        <v>200</v>
      </c>
      <c r="N173" s="51"/>
      <c r="O173" s="51">
        <v>200</v>
      </c>
      <c r="P173" s="72">
        <v>-190</v>
      </c>
      <c r="Q173" s="52">
        <f t="shared" si="73"/>
        <v>1210</v>
      </c>
      <c r="R173" s="50">
        <v>153.98</v>
      </c>
      <c r="S173" s="50">
        <v>145.22</v>
      </c>
      <c r="T173" s="50">
        <v>207.99</v>
      </c>
      <c r="U173" s="50">
        <v>152.25</v>
      </c>
      <c r="V173" s="50">
        <v>78.32</v>
      </c>
      <c r="W173" s="50"/>
      <c r="X173" s="50">
        <v>252.01</v>
      </c>
      <c r="Y173" s="50"/>
      <c r="Z173" s="50"/>
      <c r="AA173" s="50">
        <v>94.08</v>
      </c>
      <c r="AB173" s="50">
        <v>78.39</v>
      </c>
      <c r="AC173" s="50">
        <v>46.93</v>
      </c>
      <c r="AD173" s="53">
        <f t="shared" si="74"/>
        <v>1209.17</v>
      </c>
      <c r="AE173" s="50">
        <f t="shared" si="75"/>
        <v>0.8299999999999272</v>
      </c>
      <c r="AF173" s="616">
        <f t="shared" si="71"/>
        <v>99.93140495867769</v>
      </c>
    </row>
    <row r="174" spans="2:32" s="34" customFormat="1" ht="25.5">
      <c r="B174" s="40"/>
      <c r="C174" s="48"/>
      <c r="D174" s="48">
        <v>4440</v>
      </c>
      <c r="E174" s="49" t="s">
        <v>538</v>
      </c>
      <c r="F174" s="50">
        <v>12900</v>
      </c>
      <c r="G174" s="51"/>
      <c r="H174" s="51"/>
      <c r="I174" s="51"/>
      <c r="J174" s="51"/>
      <c r="K174" s="51"/>
      <c r="L174" s="51"/>
      <c r="M174" s="51"/>
      <c r="N174" s="51"/>
      <c r="O174" s="51">
        <v>2234</v>
      </c>
      <c r="P174" s="51"/>
      <c r="Q174" s="52">
        <f t="shared" si="73"/>
        <v>15134</v>
      </c>
      <c r="R174" s="50"/>
      <c r="S174" s="50"/>
      <c r="T174" s="50">
        <v>9675</v>
      </c>
      <c r="U174" s="50"/>
      <c r="V174" s="50"/>
      <c r="W174" s="50"/>
      <c r="X174" s="50"/>
      <c r="Y174" s="50"/>
      <c r="Z174" s="50">
        <v>3225</v>
      </c>
      <c r="AA174" s="50"/>
      <c r="AB174" s="50">
        <v>10</v>
      </c>
      <c r="AC174" s="50">
        <v>2224</v>
      </c>
      <c r="AD174" s="53">
        <f t="shared" si="74"/>
        <v>15134</v>
      </c>
      <c r="AE174" s="50">
        <f t="shared" si="75"/>
        <v>0</v>
      </c>
      <c r="AF174" s="616">
        <f t="shared" si="71"/>
        <v>100</v>
      </c>
    </row>
    <row r="175" spans="2:32" s="34" customFormat="1" ht="25.5">
      <c r="B175" s="40"/>
      <c r="C175" s="48"/>
      <c r="D175" s="48">
        <v>4740</v>
      </c>
      <c r="E175" s="49" t="s">
        <v>497</v>
      </c>
      <c r="F175" s="50">
        <v>4600</v>
      </c>
      <c r="G175" s="51"/>
      <c r="H175" s="51"/>
      <c r="I175" s="51"/>
      <c r="J175" s="72">
        <v>-4100</v>
      </c>
      <c r="K175" s="51"/>
      <c r="L175" s="51"/>
      <c r="M175" s="51"/>
      <c r="N175" s="51"/>
      <c r="O175" s="72">
        <v>-200</v>
      </c>
      <c r="P175" s="72">
        <v>-247</v>
      </c>
      <c r="Q175" s="52">
        <f t="shared" si="73"/>
        <v>53</v>
      </c>
      <c r="R175" s="50"/>
      <c r="S175" s="50"/>
      <c r="T175" s="50"/>
      <c r="U175" s="50"/>
      <c r="V175" s="50"/>
      <c r="W175" s="50"/>
      <c r="X175" s="50"/>
      <c r="Y175" s="50"/>
      <c r="Z175" s="50">
        <v>52.77</v>
      </c>
      <c r="AA175" s="50"/>
      <c r="AB175" s="50"/>
      <c r="AC175" s="50"/>
      <c r="AD175" s="53">
        <f>SUM(R175:AC175)</f>
        <v>52.77</v>
      </c>
      <c r="AE175" s="50">
        <f>Q175-AD175</f>
        <v>0.22999999999999687</v>
      </c>
      <c r="AF175" s="616">
        <f>AD175*100/Q175</f>
        <v>99.56603773584905</v>
      </c>
    </row>
    <row r="176" spans="2:32" s="34" customFormat="1" ht="12.75">
      <c r="B176" s="40"/>
      <c r="C176" s="42">
        <v>80104</v>
      </c>
      <c r="D176" s="42"/>
      <c r="E176" s="43" t="s">
        <v>354</v>
      </c>
      <c r="F176" s="44">
        <f>SUM(F177:F197)</f>
        <v>848680</v>
      </c>
      <c r="G176" s="45">
        <f aca="true" t="shared" si="76" ref="G176:L176">SUM(G177:G197)</f>
        <v>0</v>
      </c>
      <c r="H176" s="45">
        <f t="shared" si="76"/>
        <v>0</v>
      </c>
      <c r="I176" s="45">
        <f t="shared" si="76"/>
        <v>0</v>
      </c>
      <c r="J176" s="45">
        <f>SUM(J177:J198)</f>
        <v>25000</v>
      </c>
      <c r="K176" s="70">
        <f t="shared" si="76"/>
        <v>-10000</v>
      </c>
      <c r="L176" s="45">
        <f t="shared" si="76"/>
        <v>0</v>
      </c>
      <c r="M176" s="45">
        <f>SUM(M177:M198)</f>
        <v>68100</v>
      </c>
      <c r="N176" s="45">
        <f>SUM(N177:N198)</f>
        <v>0</v>
      </c>
      <c r="O176" s="45">
        <f>SUM(O177:O198)</f>
        <v>30720</v>
      </c>
      <c r="P176" s="45">
        <f>SUM(P177:P198)</f>
        <v>7266</v>
      </c>
      <c r="Q176" s="46">
        <f>SUM(Q177:Q198)</f>
        <v>969766</v>
      </c>
      <c r="R176" s="44">
        <f>SUM(R177:R197)</f>
        <v>60508.740000000005</v>
      </c>
      <c r="S176" s="44">
        <f aca="true" t="shared" si="77" ref="S176:X176">SUM(S177:S197)</f>
        <v>71971.75000000001</v>
      </c>
      <c r="T176" s="44">
        <f t="shared" si="77"/>
        <v>121068.79</v>
      </c>
      <c r="U176" s="44">
        <f t="shared" si="77"/>
        <v>95700.78000000003</v>
      </c>
      <c r="V176" s="44">
        <f t="shared" si="77"/>
        <v>82354.46999999999</v>
      </c>
      <c r="W176" s="44">
        <f>SUM(W177:W198)</f>
        <v>73583.98999999998</v>
      </c>
      <c r="X176" s="44">
        <f t="shared" si="77"/>
        <v>91344.68</v>
      </c>
      <c r="Y176" s="44">
        <f>SUM(Y177:Y197)</f>
        <v>72108.47000000002</v>
      </c>
      <c r="Z176" s="44">
        <f>SUM(Z177:Z198)</f>
        <v>60652.2</v>
      </c>
      <c r="AA176" s="44">
        <f>SUM(AA177:AA198)</f>
        <v>81690.22</v>
      </c>
      <c r="AB176" s="44">
        <f>SUM(AB177:AB197)</f>
        <v>81627.93</v>
      </c>
      <c r="AC176" s="44">
        <f>SUM(AC177:AC198)</f>
        <v>77145.62999999999</v>
      </c>
      <c r="AD176" s="44">
        <f>SUM(AD177:AD198)</f>
        <v>969757.6500000001</v>
      </c>
      <c r="AE176" s="44">
        <f>SUM(AE177:AE198)</f>
        <v>8.349999999926865</v>
      </c>
      <c r="AF176" s="615">
        <f t="shared" si="71"/>
        <v>99.99913896754477</v>
      </c>
    </row>
    <row r="177" spans="2:32" s="34" customFormat="1" ht="12.75">
      <c r="B177" s="617"/>
      <c r="C177" s="48"/>
      <c r="D177" s="48">
        <v>2540</v>
      </c>
      <c r="E177" s="49" t="s">
        <v>587</v>
      </c>
      <c r="F177" s="50">
        <v>143000</v>
      </c>
      <c r="G177" s="51"/>
      <c r="H177" s="51"/>
      <c r="I177" s="51"/>
      <c r="J177" s="51"/>
      <c r="K177" s="51"/>
      <c r="L177" s="51"/>
      <c r="M177" s="51">
        <v>54000</v>
      </c>
      <c r="N177" s="51"/>
      <c r="O177" s="72">
        <v>-5000</v>
      </c>
      <c r="P177" s="51">
        <v>482</v>
      </c>
      <c r="Q177" s="52">
        <f aca="true" t="shared" si="78" ref="Q177:Q198">F177+G177+H177+I177+J177+K177+L177+M177+N177+O177+P177</f>
        <v>192482</v>
      </c>
      <c r="R177" s="50">
        <v>10179.3</v>
      </c>
      <c r="S177" s="50">
        <v>16885.43</v>
      </c>
      <c r="T177" s="50">
        <v>25707.57</v>
      </c>
      <c r="U177" s="50">
        <v>15800.56</v>
      </c>
      <c r="V177" s="50">
        <v>24472.5</v>
      </c>
      <c r="W177" s="50">
        <v>13825.48</v>
      </c>
      <c r="X177" s="50">
        <v>13812.56</v>
      </c>
      <c r="Y177" s="50">
        <v>15804.16</v>
      </c>
      <c r="Z177" s="50">
        <v>10360.14</v>
      </c>
      <c r="AA177" s="50">
        <v>13333.14</v>
      </c>
      <c r="AB177" s="50">
        <v>17372.01</v>
      </c>
      <c r="AC177" s="50">
        <v>14929.08</v>
      </c>
      <c r="AD177" s="53">
        <f aca="true" t="shared" si="79" ref="AD177:AD195">SUM(R177:AC177)</f>
        <v>192481.93000000002</v>
      </c>
      <c r="AE177" s="50">
        <f aca="true" t="shared" si="80" ref="AE177:AE195">Q177-AD177</f>
        <v>0.06999999997788109</v>
      </c>
      <c r="AF177" s="616">
        <f t="shared" si="71"/>
        <v>99.9999636329631</v>
      </c>
    </row>
    <row r="178" spans="2:32" s="34" customFormat="1" ht="25.5">
      <c r="B178" s="40"/>
      <c r="C178" s="48"/>
      <c r="D178" s="48">
        <v>3020</v>
      </c>
      <c r="E178" s="49" t="s">
        <v>530</v>
      </c>
      <c r="F178" s="50">
        <v>20000</v>
      </c>
      <c r="G178" s="51"/>
      <c r="H178" s="51"/>
      <c r="I178" s="51"/>
      <c r="J178" s="51"/>
      <c r="K178" s="51"/>
      <c r="L178" s="51"/>
      <c r="M178" s="51">
        <v>3000</v>
      </c>
      <c r="N178" s="51"/>
      <c r="O178" s="72">
        <v>-500</v>
      </c>
      <c r="P178" s="51">
        <v>1118</v>
      </c>
      <c r="Q178" s="52">
        <f t="shared" si="78"/>
        <v>23618</v>
      </c>
      <c r="R178" s="50">
        <v>1828.23</v>
      </c>
      <c r="S178" s="50">
        <v>1733.4</v>
      </c>
      <c r="T178" s="50">
        <v>2082.76</v>
      </c>
      <c r="U178" s="50">
        <v>1647.38</v>
      </c>
      <c r="V178" s="50">
        <v>1975.53</v>
      </c>
      <c r="W178" s="50">
        <v>1974.33</v>
      </c>
      <c r="X178" s="50">
        <v>1926.53</v>
      </c>
      <c r="Y178" s="50">
        <v>1880.21</v>
      </c>
      <c r="Z178" s="50">
        <v>1661</v>
      </c>
      <c r="AA178" s="50">
        <v>1778.43</v>
      </c>
      <c r="AB178" s="50">
        <v>1880.99</v>
      </c>
      <c r="AC178" s="50">
        <v>3249.03</v>
      </c>
      <c r="AD178" s="53">
        <f t="shared" si="79"/>
        <v>23617.820000000003</v>
      </c>
      <c r="AE178" s="50">
        <f t="shared" si="80"/>
        <v>0.17999999999665306</v>
      </c>
      <c r="AF178" s="616">
        <f t="shared" si="71"/>
        <v>99.99923786942165</v>
      </c>
    </row>
    <row r="179" spans="2:32" s="34" customFormat="1" ht="12.75">
      <c r="B179" s="40"/>
      <c r="C179" s="48"/>
      <c r="D179" s="48">
        <v>4010</v>
      </c>
      <c r="E179" s="49" t="s">
        <v>524</v>
      </c>
      <c r="F179" s="50">
        <v>443000</v>
      </c>
      <c r="G179" s="51"/>
      <c r="H179" s="51"/>
      <c r="I179" s="51"/>
      <c r="J179" s="51">
        <v>2004</v>
      </c>
      <c r="K179" s="51"/>
      <c r="L179" s="51"/>
      <c r="M179" s="72">
        <v>-3000</v>
      </c>
      <c r="N179" s="72"/>
      <c r="O179" s="51">
        <v>25000</v>
      </c>
      <c r="P179" s="72">
        <v>-88</v>
      </c>
      <c r="Q179" s="52">
        <f t="shared" si="78"/>
        <v>466916</v>
      </c>
      <c r="R179" s="50">
        <v>35223.33</v>
      </c>
      <c r="S179" s="50">
        <v>38148.93</v>
      </c>
      <c r="T179" s="50">
        <v>36823.16</v>
      </c>
      <c r="U179" s="50">
        <v>36373.53</v>
      </c>
      <c r="V179" s="50">
        <v>42895.99</v>
      </c>
      <c r="W179" s="50">
        <v>41603.1</v>
      </c>
      <c r="X179" s="50">
        <v>38210.26</v>
      </c>
      <c r="Y179" s="50">
        <v>37225.1</v>
      </c>
      <c r="Z179" s="50">
        <v>38022.59</v>
      </c>
      <c r="AA179" s="50">
        <v>43743.27</v>
      </c>
      <c r="AB179" s="50">
        <v>41049.32</v>
      </c>
      <c r="AC179" s="50">
        <v>37597.15</v>
      </c>
      <c r="AD179" s="53">
        <f t="shared" si="79"/>
        <v>466915.73000000004</v>
      </c>
      <c r="AE179" s="50">
        <f t="shared" si="80"/>
        <v>0.2699999999604188</v>
      </c>
      <c r="AF179" s="616">
        <f t="shared" si="71"/>
        <v>99.9999421737529</v>
      </c>
    </row>
    <row r="180" spans="2:32" s="34" customFormat="1" ht="12.75">
      <c r="B180" s="40"/>
      <c r="C180" s="48"/>
      <c r="D180" s="48">
        <v>4040</v>
      </c>
      <c r="E180" s="49" t="s">
        <v>531</v>
      </c>
      <c r="F180" s="50">
        <v>30600</v>
      </c>
      <c r="G180" s="51"/>
      <c r="H180" s="51"/>
      <c r="I180" s="51"/>
      <c r="J180" s="72">
        <v>-404</v>
      </c>
      <c r="K180" s="51"/>
      <c r="L180" s="51"/>
      <c r="M180" s="51"/>
      <c r="N180" s="51"/>
      <c r="O180" s="51"/>
      <c r="P180" s="51"/>
      <c r="Q180" s="52">
        <f t="shared" si="78"/>
        <v>30196</v>
      </c>
      <c r="R180" s="50"/>
      <c r="S180" s="50"/>
      <c r="T180" s="50">
        <v>19576.56</v>
      </c>
      <c r="U180" s="50">
        <v>10618.6</v>
      </c>
      <c r="V180" s="50"/>
      <c r="W180" s="50"/>
      <c r="X180" s="50"/>
      <c r="Y180" s="50"/>
      <c r="Z180" s="50"/>
      <c r="AA180" s="50"/>
      <c r="AB180" s="50"/>
      <c r="AC180" s="50"/>
      <c r="AD180" s="53">
        <f t="shared" si="79"/>
        <v>30195.160000000003</v>
      </c>
      <c r="AE180" s="50">
        <f t="shared" si="80"/>
        <v>0.8399999999965075</v>
      </c>
      <c r="AF180" s="616">
        <f t="shared" si="71"/>
        <v>99.99721817459267</v>
      </c>
    </row>
    <row r="181" spans="2:32" s="34" customFormat="1" ht="12.75">
      <c r="B181" s="40"/>
      <c r="C181" s="48"/>
      <c r="D181" s="48">
        <v>4110</v>
      </c>
      <c r="E181" s="49" t="s">
        <v>525</v>
      </c>
      <c r="F181" s="50">
        <v>86900</v>
      </c>
      <c r="G181" s="51"/>
      <c r="H181" s="51"/>
      <c r="I181" s="51"/>
      <c r="J181" s="51"/>
      <c r="K181" s="51"/>
      <c r="L181" s="51"/>
      <c r="M181" s="51"/>
      <c r="N181" s="51"/>
      <c r="O181" s="72">
        <v>-3000</v>
      </c>
      <c r="P181" s="51">
        <v>1036</v>
      </c>
      <c r="Q181" s="52">
        <f t="shared" si="78"/>
        <v>84936</v>
      </c>
      <c r="R181" s="50">
        <v>6897.69</v>
      </c>
      <c r="S181" s="50">
        <v>5272.88</v>
      </c>
      <c r="T181" s="50">
        <v>6674.1</v>
      </c>
      <c r="U181" s="50">
        <v>11092.17</v>
      </c>
      <c r="V181" s="50">
        <v>6044.45</v>
      </c>
      <c r="W181" s="50">
        <v>8136.55</v>
      </c>
      <c r="X181" s="50">
        <v>7528.22</v>
      </c>
      <c r="Y181" s="50">
        <v>6439.88</v>
      </c>
      <c r="Z181" s="50">
        <v>5854.17</v>
      </c>
      <c r="AA181" s="50">
        <v>5789.64</v>
      </c>
      <c r="AB181" s="50">
        <v>8718.22</v>
      </c>
      <c r="AC181" s="50">
        <v>6487.64</v>
      </c>
      <c r="AD181" s="53">
        <f t="shared" si="79"/>
        <v>84935.61</v>
      </c>
      <c r="AE181" s="50">
        <f t="shared" si="80"/>
        <v>0.3899999999994179</v>
      </c>
      <c r="AF181" s="616">
        <f t="shared" si="71"/>
        <v>99.99954083074314</v>
      </c>
    </row>
    <row r="182" spans="2:32" s="34" customFormat="1" ht="12.75">
      <c r="B182" s="40"/>
      <c r="C182" s="48"/>
      <c r="D182" s="48">
        <v>4120</v>
      </c>
      <c r="E182" s="49" t="s">
        <v>532</v>
      </c>
      <c r="F182" s="50">
        <v>12000</v>
      </c>
      <c r="G182" s="51"/>
      <c r="H182" s="51"/>
      <c r="I182" s="51"/>
      <c r="J182" s="51"/>
      <c r="K182" s="51"/>
      <c r="L182" s="51"/>
      <c r="M182" s="51"/>
      <c r="N182" s="51"/>
      <c r="O182" s="51">
        <v>300</v>
      </c>
      <c r="P182" s="51">
        <v>44</v>
      </c>
      <c r="Q182" s="52">
        <f t="shared" si="78"/>
        <v>12344</v>
      </c>
      <c r="R182" s="50">
        <v>912.58</v>
      </c>
      <c r="S182" s="50">
        <v>885.82</v>
      </c>
      <c r="T182" s="50">
        <v>911.48</v>
      </c>
      <c r="U182" s="50">
        <v>1637.22</v>
      </c>
      <c r="V182" s="50">
        <v>928.94</v>
      </c>
      <c r="W182" s="50">
        <v>1078.7</v>
      </c>
      <c r="X182" s="50">
        <v>1032.13</v>
      </c>
      <c r="Y182" s="50">
        <v>924.69</v>
      </c>
      <c r="Z182" s="50">
        <v>945.55</v>
      </c>
      <c r="AA182" s="50">
        <v>958.64</v>
      </c>
      <c r="AB182" s="50">
        <v>1156.89</v>
      </c>
      <c r="AC182" s="50">
        <v>970.75</v>
      </c>
      <c r="AD182" s="53">
        <f t="shared" si="79"/>
        <v>12343.39</v>
      </c>
      <c r="AE182" s="50">
        <f t="shared" si="80"/>
        <v>0.6100000000005821</v>
      </c>
      <c r="AF182" s="616">
        <f t="shared" si="71"/>
        <v>99.9950583279326</v>
      </c>
    </row>
    <row r="183" spans="2:32" s="34" customFormat="1" ht="12.75">
      <c r="B183" s="40"/>
      <c r="C183" s="48"/>
      <c r="D183" s="48">
        <v>4170</v>
      </c>
      <c r="E183" s="49" t="s">
        <v>533</v>
      </c>
      <c r="F183" s="50"/>
      <c r="G183" s="51"/>
      <c r="H183" s="51"/>
      <c r="I183" s="51"/>
      <c r="J183" s="51"/>
      <c r="K183" s="51"/>
      <c r="L183" s="51"/>
      <c r="M183" s="51"/>
      <c r="N183" s="51"/>
      <c r="O183" s="51">
        <v>8000</v>
      </c>
      <c r="P183" s="72">
        <v>-3760</v>
      </c>
      <c r="Q183" s="52">
        <f t="shared" si="78"/>
        <v>4240</v>
      </c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>
        <v>4240</v>
      </c>
      <c r="AD183" s="53">
        <f t="shared" si="79"/>
        <v>4240</v>
      </c>
      <c r="AE183" s="50">
        <f t="shared" si="80"/>
        <v>0</v>
      </c>
      <c r="AF183" s="616">
        <f t="shared" si="71"/>
        <v>100</v>
      </c>
    </row>
    <row r="184" spans="2:32" s="34" customFormat="1" ht="12.75">
      <c r="B184" s="40"/>
      <c r="C184" s="48"/>
      <c r="D184" s="48">
        <v>4210</v>
      </c>
      <c r="E184" s="49" t="s">
        <v>1201</v>
      </c>
      <c r="F184" s="50">
        <v>10000</v>
      </c>
      <c r="G184" s="51"/>
      <c r="H184" s="51"/>
      <c r="I184" s="51"/>
      <c r="J184" s="51"/>
      <c r="K184" s="51"/>
      <c r="L184" s="51"/>
      <c r="M184" s="51">
        <v>4000</v>
      </c>
      <c r="N184" s="51"/>
      <c r="O184" s="51">
        <v>1190</v>
      </c>
      <c r="P184" s="51">
        <v>2039</v>
      </c>
      <c r="Q184" s="52">
        <f t="shared" si="78"/>
        <v>17229</v>
      </c>
      <c r="R184" s="50">
        <v>1405.6</v>
      </c>
      <c r="S184" s="50">
        <v>2078.83</v>
      </c>
      <c r="T184" s="50">
        <v>643.58</v>
      </c>
      <c r="U184" s="50">
        <v>958.99</v>
      </c>
      <c r="V184" s="50">
        <v>2059.3</v>
      </c>
      <c r="W184" s="50">
        <v>872.53</v>
      </c>
      <c r="X184" s="50">
        <v>1073.44</v>
      </c>
      <c r="Y184" s="50">
        <v>4720.78</v>
      </c>
      <c r="Z184" s="72">
        <v>-2035.66</v>
      </c>
      <c r="AA184" s="50">
        <v>2753.51</v>
      </c>
      <c r="AB184" s="50">
        <v>1416.66</v>
      </c>
      <c r="AC184" s="50">
        <v>1280.67</v>
      </c>
      <c r="AD184" s="53">
        <f t="shared" si="79"/>
        <v>17228.23</v>
      </c>
      <c r="AE184" s="72">
        <f t="shared" si="80"/>
        <v>0.7700000000004366</v>
      </c>
      <c r="AF184" s="616">
        <f t="shared" si="71"/>
        <v>99.99553079110801</v>
      </c>
    </row>
    <row r="185" spans="2:32" s="34" customFormat="1" ht="12.75">
      <c r="B185" s="40"/>
      <c r="C185" s="48"/>
      <c r="D185" s="48">
        <v>4240</v>
      </c>
      <c r="E185" s="49" t="s">
        <v>584</v>
      </c>
      <c r="F185" s="50">
        <v>2800</v>
      </c>
      <c r="G185" s="51"/>
      <c r="H185" s="51"/>
      <c r="I185" s="51"/>
      <c r="J185" s="51"/>
      <c r="K185" s="51"/>
      <c r="L185" s="51"/>
      <c r="M185" s="51"/>
      <c r="N185" s="51"/>
      <c r="O185" s="51"/>
      <c r="P185" s="51">
        <v>475</v>
      </c>
      <c r="Q185" s="52">
        <f t="shared" si="78"/>
        <v>3275</v>
      </c>
      <c r="R185" s="50">
        <v>81.5</v>
      </c>
      <c r="S185" s="50">
        <v>785</v>
      </c>
      <c r="T185" s="50">
        <v>363.9</v>
      </c>
      <c r="U185" s="50">
        <v>300.71</v>
      </c>
      <c r="V185" s="50">
        <v>178.95</v>
      </c>
      <c r="W185" s="50">
        <v>431</v>
      </c>
      <c r="X185" s="50">
        <v>23.2</v>
      </c>
      <c r="Y185" s="50"/>
      <c r="Z185" s="50">
        <v>216.18</v>
      </c>
      <c r="AA185" s="50">
        <v>263.99</v>
      </c>
      <c r="AB185" s="50">
        <v>599.97</v>
      </c>
      <c r="AC185" s="50">
        <v>30</v>
      </c>
      <c r="AD185" s="53">
        <f t="shared" si="79"/>
        <v>3274.4000000000005</v>
      </c>
      <c r="AE185" s="72">
        <f t="shared" si="80"/>
        <v>0.5999999999994543</v>
      </c>
      <c r="AF185" s="616">
        <f t="shared" si="71"/>
        <v>99.981679389313</v>
      </c>
    </row>
    <row r="186" spans="2:32" s="34" customFormat="1" ht="12.75">
      <c r="B186" s="40"/>
      <c r="C186" s="48"/>
      <c r="D186" s="48">
        <v>4260</v>
      </c>
      <c r="E186" s="49" t="s">
        <v>527</v>
      </c>
      <c r="F186" s="50">
        <v>35000</v>
      </c>
      <c r="G186" s="51"/>
      <c r="H186" s="51"/>
      <c r="I186" s="51"/>
      <c r="J186" s="51">
        <v>3000</v>
      </c>
      <c r="K186" s="51"/>
      <c r="L186" s="51"/>
      <c r="M186" s="51">
        <v>5000</v>
      </c>
      <c r="N186" s="51"/>
      <c r="O186" s="51"/>
      <c r="P186" s="51">
        <v>795</v>
      </c>
      <c r="Q186" s="52">
        <f t="shared" si="78"/>
        <v>43795</v>
      </c>
      <c r="R186" s="50">
        <v>2877.62</v>
      </c>
      <c r="S186" s="50">
        <v>5005.39</v>
      </c>
      <c r="T186" s="50">
        <v>2994.53</v>
      </c>
      <c r="U186" s="50">
        <v>4984.78</v>
      </c>
      <c r="V186" s="50">
        <v>2569.11</v>
      </c>
      <c r="W186" s="50">
        <v>4630.15</v>
      </c>
      <c r="X186" s="50">
        <v>2484.5</v>
      </c>
      <c r="Y186" s="50">
        <v>3850.08</v>
      </c>
      <c r="Z186" s="50">
        <v>2403.64</v>
      </c>
      <c r="AA186" s="50">
        <v>4483.3</v>
      </c>
      <c r="AB186" s="50">
        <v>2558</v>
      </c>
      <c r="AC186" s="50">
        <v>4953.4</v>
      </c>
      <c r="AD186" s="53">
        <f t="shared" si="79"/>
        <v>43794.50000000001</v>
      </c>
      <c r="AE186" s="50">
        <f t="shared" si="80"/>
        <v>0.49999999999272404</v>
      </c>
      <c r="AF186" s="616">
        <f t="shared" si="71"/>
        <v>99.99885831715952</v>
      </c>
    </row>
    <row r="187" spans="2:32" s="34" customFormat="1" ht="12.75">
      <c r="B187" s="40"/>
      <c r="C187" s="48"/>
      <c r="D187" s="48">
        <v>4270</v>
      </c>
      <c r="E187" s="49" t="s">
        <v>1202</v>
      </c>
      <c r="F187" s="50">
        <v>3000</v>
      </c>
      <c r="G187" s="51"/>
      <c r="H187" s="51"/>
      <c r="I187" s="51"/>
      <c r="J187" s="72">
        <v>-2500</v>
      </c>
      <c r="K187" s="51"/>
      <c r="L187" s="51"/>
      <c r="M187" s="51">
        <v>2000</v>
      </c>
      <c r="N187" s="51"/>
      <c r="O187" s="51">
        <v>1300</v>
      </c>
      <c r="P187" s="72">
        <v>-96</v>
      </c>
      <c r="Q187" s="52">
        <f t="shared" si="78"/>
        <v>3704</v>
      </c>
      <c r="R187" s="50"/>
      <c r="S187" s="50"/>
      <c r="T187" s="50"/>
      <c r="U187" s="50"/>
      <c r="V187" s="50"/>
      <c r="W187" s="50"/>
      <c r="X187" s="50"/>
      <c r="Y187" s="50"/>
      <c r="Z187" s="50"/>
      <c r="AA187" s="50">
        <v>1714.84</v>
      </c>
      <c r="AB187" s="50"/>
      <c r="AC187" s="50">
        <v>1988.6</v>
      </c>
      <c r="AD187" s="53">
        <f t="shared" si="79"/>
        <v>3703.4399999999996</v>
      </c>
      <c r="AE187" s="50">
        <f t="shared" si="80"/>
        <v>0.5600000000004002</v>
      </c>
      <c r="AF187" s="616">
        <f t="shared" si="71"/>
        <v>99.98488120950323</v>
      </c>
    </row>
    <row r="188" spans="2:32" s="34" customFormat="1" ht="12.75">
      <c r="B188" s="40"/>
      <c r="C188" s="48"/>
      <c r="D188" s="48">
        <v>4280</v>
      </c>
      <c r="E188" s="49" t="s">
        <v>534</v>
      </c>
      <c r="F188" s="50">
        <v>1200</v>
      </c>
      <c r="G188" s="51"/>
      <c r="H188" s="51"/>
      <c r="I188" s="51"/>
      <c r="J188" s="51"/>
      <c r="K188" s="51"/>
      <c r="L188" s="51"/>
      <c r="M188" s="51"/>
      <c r="N188" s="51"/>
      <c r="O188" s="51">
        <v>800</v>
      </c>
      <c r="P188" s="72">
        <v>-11</v>
      </c>
      <c r="Q188" s="52">
        <f t="shared" si="78"/>
        <v>1989</v>
      </c>
      <c r="R188" s="50"/>
      <c r="S188" s="50"/>
      <c r="T188" s="50"/>
      <c r="U188" s="50">
        <v>90</v>
      </c>
      <c r="V188" s="50">
        <v>50</v>
      </c>
      <c r="W188" s="50"/>
      <c r="X188" s="50"/>
      <c r="Y188" s="50"/>
      <c r="Z188" s="50"/>
      <c r="AA188" s="50">
        <v>1685</v>
      </c>
      <c r="AB188" s="50">
        <v>164</v>
      </c>
      <c r="AC188" s="50"/>
      <c r="AD188" s="53">
        <f>SUM(R188:AC188)</f>
        <v>1989</v>
      </c>
      <c r="AE188" s="50">
        <f>Q188-AD188</f>
        <v>0</v>
      </c>
      <c r="AF188" s="616">
        <f>AD188*100/Q188</f>
        <v>100</v>
      </c>
    </row>
    <row r="189" spans="2:32" s="34" customFormat="1" ht="15.75" customHeight="1">
      <c r="B189" s="40"/>
      <c r="C189" s="48"/>
      <c r="D189" s="48">
        <v>4300</v>
      </c>
      <c r="E189" s="49" t="s">
        <v>1203</v>
      </c>
      <c r="F189" s="50">
        <v>6500</v>
      </c>
      <c r="G189" s="51"/>
      <c r="H189" s="51"/>
      <c r="I189" s="51"/>
      <c r="J189" s="51"/>
      <c r="K189" s="51"/>
      <c r="L189" s="51"/>
      <c r="M189" s="51"/>
      <c r="N189" s="51"/>
      <c r="O189" s="51">
        <v>2000</v>
      </c>
      <c r="P189" s="51">
        <v>1118</v>
      </c>
      <c r="Q189" s="52">
        <f t="shared" si="78"/>
        <v>9618</v>
      </c>
      <c r="R189" s="50">
        <v>454.45</v>
      </c>
      <c r="S189" s="50">
        <v>604.4</v>
      </c>
      <c r="T189" s="50">
        <v>263</v>
      </c>
      <c r="U189" s="50">
        <v>1359.38</v>
      </c>
      <c r="V189" s="50">
        <v>786.5</v>
      </c>
      <c r="W189" s="50">
        <v>769.17</v>
      </c>
      <c r="X189" s="50">
        <v>706.06</v>
      </c>
      <c r="Y189" s="50">
        <v>1015.3</v>
      </c>
      <c r="Z189" s="50">
        <v>440.16</v>
      </c>
      <c r="AA189" s="50">
        <v>993.85</v>
      </c>
      <c r="AB189" s="50">
        <v>1420.31</v>
      </c>
      <c r="AC189" s="50">
        <v>805.1</v>
      </c>
      <c r="AD189" s="53">
        <f t="shared" si="79"/>
        <v>9617.68</v>
      </c>
      <c r="AE189" s="72">
        <f t="shared" si="80"/>
        <v>0.31999999999970896</v>
      </c>
      <c r="AF189" s="616">
        <f t="shared" si="71"/>
        <v>99.99667290496984</v>
      </c>
    </row>
    <row r="190" spans="2:32" s="34" customFormat="1" ht="12.75">
      <c r="B190" s="40"/>
      <c r="C190" s="48"/>
      <c r="D190" s="48">
        <v>4350</v>
      </c>
      <c r="E190" s="49" t="s">
        <v>535</v>
      </c>
      <c r="F190" s="50"/>
      <c r="G190" s="51"/>
      <c r="H190" s="51"/>
      <c r="I190" s="51"/>
      <c r="J190" s="51">
        <v>300</v>
      </c>
      <c r="K190" s="51"/>
      <c r="L190" s="51"/>
      <c r="M190" s="51"/>
      <c r="N190" s="51"/>
      <c r="O190" s="72">
        <v>-100</v>
      </c>
      <c r="P190" s="72">
        <v>-4</v>
      </c>
      <c r="Q190" s="52">
        <f t="shared" si="78"/>
        <v>196</v>
      </c>
      <c r="R190" s="50"/>
      <c r="S190" s="50"/>
      <c r="T190" s="50"/>
      <c r="U190" s="50"/>
      <c r="V190" s="50"/>
      <c r="W190" s="50">
        <v>28</v>
      </c>
      <c r="X190" s="50">
        <v>28</v>
      </c>
      <c r="Y190" s="50">
        <v>28</v>
      </c>
      <c r="Z190" s="50">
        <v>28</v>
      </c>
      <c r="AA190" s="50">
        <v>28</v>
      </c>
      <c r="AB190" s="50">
        <v>28</v>
      </c>
      <c r="AC190" s="50">
        <v>28</v>
      </c>
      <c r="AD190" s="53">
        <f t="shared" si="79"/>
        <v>196</v>
      </c>
      <c r="AE190" s="50">
        <f>Q190-AD190</f>
        <v>0</v>
      </c>
      <c r="AF190" s="616">
        <f>AD190*100/Q190</f>
        <v>100</v>
      </c>
    </row>
    <row r="191" spans="2:32" s="34" customFormat="1" ht="25.5">
      <c r="B191" s="40"/>
      <c r="C191" s="48"/>
      <c r="D191" s="48">
        <v>4360</v>
      </c>
      <c r="E191" s="49" t="s">
        <v>536</v>
      </c>
      <c r="F191" s="50"/>
      <c r="G191" s="51"/>
      <c r="H191" s="51"/>
      <c r="I191" s="51"/>
      <c r="J191" s="51">
        <v>300</v>
      </c>
      <c r="K191" s="51"/>
      <c r="L191" s="51"/>
      <c r="M191" s="51"/>
      <c r="N191" s="51"/>
      <c r="O191" s="51"/>
      <c r="P191" s="72">
        <v>-30</v>
      </c>
      <c r="Q191" s="52">
        <f t="shared" si="78"/>
        <v>270</v>
      </c>
      <c r="R191" s="50"/>
      <c r="S191" s="50"/>
      <c r="T191" s="50"/>
      <c r="U191" s="50"/>
      <c r="V191" s="50"/>
      <c r="W191" s="50">
        <v>40.19</v>
      </c>
      <c r="X191" s="50">
        <v>40.26</v>
      </c>
      <c r="Y191" s="50">
        <v>37.82</v>
      </c>
      <c r="Z191" s="50">
        <v>37.82</v>
      </c>
      <c r="AA191" s="50">
        <v>37.82</v>
      </c>
      <c r="AB191" s="50">
        <v>37.82</v>
      </c>
      <c r="AC191" s="50">
        <v>37.87</v>
      </c>
      <c r="AD191" s="53">
        <f t="shared" si="79"/>
        <v>269.59999999999997</v>
      </c>
      <c r="AE191" s="50">
        <f>Q191-AD191</f>
        <v>0.4000000000000341</v>
      </c>
      <c r="AF191" s="616">
        <f>AD191*100/Q191</f>
        <v>99.85185185185183</v>
      </c>
    </row>
    <row r="192" spans="2:32" s="34" customFormat="1" ht="25.5">
      <c r="B192" s="40"/>
      <c r="C192" s="48"/>
      <c r="D192" s="48">
        <v>4370</v>
      </c>
      <c r="E192" s="49" t="s">
        <v>537</v>
      </c>
      <c r="F192" s="50">
        <v>2300</v>
      </c>
      <c r="G192" s="51"/>
      <c r="H192" s="51"/>
      <c r="I192" s="51"/>
      <c r="J192" s="51"/>
      <c r="K192" s="51"/>
      <c r="L192" s="51"/>
      <c r="M192" s="51"/>
      <c r="N192" s="51"/>
      <c r="O192" s="51">
        <v>280</v>
      </c>
      <c r="P192" s="51">
        <v>20</v>
      </c>
      <c r="Q192" s="52">
        <f t="shared" si="78"/>
        <v>2600</v>
      </c>
      <c r="R192" s="50">
        <v>158.61</v>
      </c>
      <c r="S192" s="50">
        <v>211.35</v>
      </c>
      <c r="T192" s="50">
        <v>171.69</v>
      </c>
      <c r="U192" s="50">
        <v>467.46</v>
      </c>
      <c r="V192" s="50">
        <v>313.36</v>
      </c>
      <c r="W192" s="50">
        <v>194.79</v>
      </c>
      <c r="X192" s="50">
        <v>216.36</v>
      </c>
      <c r="Y192" s="50">
        <v>182.45</v>
      </c>
      <c r="Z192" s="50">
        <v>146.67</v>
      </c>
      <c r="AA192" s="50">
        <v>163.5</v>
      </c>
      <c r="AB192" s="50">
        <v>211.93</v>
      </c>
      <c r="AC192" s="50">
        <v>161.37</v>
      </c>
      <c r="AD192" s="53">
        <f>SUM(R192:AC192)</f>
        <v>2599.54</v>
      </c>
      <c r="AE192" s="50">
        <f>Q192-AD192</f>
        <v>0.4600000000000364</v>
      </c>
      <c r="AF192" s="616">
        <f>AD192*100/Q192</f>
        <v>99.98230769230769</v>
      </c>
    </row>
    <row r="193" spans="2:32" s="34" customFormat="1" ht="12.75">
      <c r="B193" s="40"/>
      <c r="C193" s="48"/>
      <c r="D193" s="48">
        <v>4410</v>
      </c>
      <c r="E193" s="49" t="s">
        <v>528</v>
      </c>
      <c r="F193" s="50">
        <v>2000</v>
      </c>
      <c r="G193" s="51"/>
      <c r="H193" s="51"/>
      <c r="I193" s="51"/>
      <c r="J193" s="72">
        <v>-700</v>
      </c>
      <c r="K193" s="51"/>
      <c r="L193" s="51"/>
      <c r="M193" s="51"/>
      <c r="N193" s="51"/>
      <c r="O193" s="72">
        <v>-500</v>
      </c>
      <c r="P193" s="72">
        <v>-15</v>
      </c>
      <c r="Q193" s="52">
        <f t="shared" si="78"/>
        <v>785</v>
      </c>
      <c r="R193" s="50">
        <v>65.12</v>
      </c>
      <c r="S193" s="50"/>
      <c r="T193" s="50">
        <v>112.2</v>
      </c>
      <c r="U193" s="50"/>
      <c r="V193" s="50">
        <v>69.04</v>
      </c>
      <c r="W193" s="50"/>
      <c r="X193" s="50">
        <v>56.49</v>
      </c>
      <c r="Y193" s="50"/>
      <c r="Z193" s="50"/>
      <c r="AA193" s="50"/>
      <c r="AB193" s="50">
        <v>250.08</v>
      </c>
      <c r="AC193" s="50">
        <v>231.1</v>
      </c>
      <c r="AD193" s="53">
        <f t="shared" si="79"/>
        <v>784.0300000000001</v>
      </c>
      <c r="AE193" s="50">
        <f t="shared" si="80"/>
        <v>0.9699999999999136</v>
      </c>
      <c r="AF193" s="616">
        <f t="shared" si="71"/>
        <v>99.87643312101913</v>
      </c>
    </row>
    <row r="194" spans="2:32" s="34" customFormat="1" ht="12.75">
      <c r="B194" s="40"/>
      <c r="C194" s="48"/>
      <c r="D194" s="48">
        <v>4430</v>
      </c>
      <c r="E194" s="49" t="s">
        <v>585</v>
      </c>
      <c r="F194" s="50">
        <v>500</v>
      </c>
      <c r="G194" s="51"/>
      <c r="H194" s="51"/>
      <c r="I194" s="51"/>
      <c r="J194" s="51"/>
      <c r="K194" s="51"/>
      <c r="L194" s="51"/>
      <c r="M194" s="51"/>
      <c r="N194" s="51"/>
      <c r="O194" s="72">
        <v>-145</v>
      </c>
      <c r="P194" s="72"/>
      <c r="Q194" s="52">
        <f t="shared" si="78"/>
        <v>355</v>
      </c>
      <c r="R194" s="50"/>
      <c r="S194" s="50">
        <v>355</v>
      </c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3">
        <f t="shared" si="79"/>
        <v>355</v>
      </c>
      <c r="AE194" s="50">
        <f t="shared" si="80"/>
        <v>0</v>
      </c>
      <c r="AF194" s="616">
        <f t="shared" si="71"/>
        <v>100</v>
      </c>
    </row>
    <row r="195" spans="2:32" s="34" customFormat="1" ht="18" customHeight="1">
      <c r="B195" s="40"/>
      <c r="C195" s="48"/>
      <c r="D195" s="48">
        <v>4440</v>
      </c>
      <c r="E195" s="49" t="s">
        <v>538</v>
      </c>
      <c r="F195" s="50">
        <v>28880</v>
      </c>
      <c r="G195" s="51"/>
      <c r="H195" s="51"/>
      <c r="I195" s="51"/>
      <c r="J195" s="51"/>
      <c r="K195" s="51"/>
      <c r="L195" s="51"/>
      <c r="M195" s="51"/>
      <c r="N195" s="51"/>
      <c r="O195" s="51">
        <v>580</v>
      </c>
      <c r="P195" s="51"/>
      <c r="Q195" s="52">
        <f t="shared" si="78"/>
        <v>29460</v>
      </c>
      <c r="R195" s="50"/>
      <c r="S195" s="50"/>
      <c r="T195" s="50">
        <v>21660</v>
      </c>
      <c r="U195" s="50"/>
      <c r="V195" s="50"/>
      <c r="W195" s="50"/>
      <c r="X195" s="50"/>
      <c r="Y195" s="50"/>
      <c r="Z195" s="50">
        <v>7220</v>
      </c>
      <c r="AA195" s="50"/>
      <c r="AB195" s="50">
        <v>580</v>
      </c>
      <c r="AC195" s="50"/>
      <c r="AD195" s="53">
        <f t="shared" si="79"/>
        <v>29460</v>
      </c>
      <c r="AE195" s="50">
        <f t="shared" si="80"/>
        <v>0</v>
      </c>
      <c r="AF195" s="616">
        <f t="shared" si="71"/>
        <v>100</v>
      </c>
    </row>
    <row r="196" spans="2:32" s="34" customFormat="1" ht="25.5">
      <c r="B196" s="40"/>
      <c r="C196" s="48"/>
      <c r="D196" s="48">
        <v>4740</v>
      </c>
      <c r="E196" s="49" t="s">
        <v>497</v>
      </c>
      <c r="F196" s="50">
        <v>6000</v>
      </c>
      <c r="G196" s="51"/>
      <c r="H196" s="51"/>
      <c r="I196" s="51"/>
      <c r="J196" s="72">
        <v>-5000</v>
      </c>
      <c r="K196" s="51"/>
      <c r="L196" s="51"/>
      <c r="M196" s="51"/>
      <c r="N196" s="51"/>
      <c r="O196" s="72">
        <v>-100</v>
      </c>
      <c r="P196" s="51">
        <v>22</v>
      </c>
      <c r="Q196" s="52">
        <f t="shared" si="78"/>
        <v>922</v>
      </c>
      <c r="R196" s="50">
        <v>424.71</v>
      </c>
      <c r="S196" s="50">
        <v>5.32</v>
      </c>
      <c r="T196" s="50">
        <v>84.26</v>
      </c>
      <c r="U196" s="50"/>
      <c r="V196" s="50">
        <v>10.8</v>
      </c>
      <c r="W196" s="50"/>
      <c r="X196" s="50">
        <v>41.97</v>
      </c>
      <c r="Y196" s="50"/>
      <c r="Z196" s="50">
        <v>141.47</v>
      </c>
      <c r="AA196" s="50"/>
      <c r="AB196" s="50">
        <v>56.73</v>
      </c>
      <c r="AC196" s="50">
        <v>155.87</v>
      </c>
      <c r="AD196" s="53">
        <f>SUM(R196:AC196)</f>
        <v>921.13</v>
      </c>
      <c r="AE196" s="50">
        <f>Q196-AD196</f>
        <v>0.8700000000000045</v>
      </c>
      <c r="AF196" s="616">
        <f>AD196*100/Q196</f>
        <v>99.90563991323211</v>
      </c>
    </row>
    <row r="197" spans="2:32" s="34" customFormat="1" ht="12.75">
      <c r="B197" s="40"/>
      <c r="C197" s="48"/>
      <c r="D197" s="48">
        <v>6050</v>
      </c>
      <c r="E197" s="49" t="s">
        <v>1204</v>
      </c>
      <c r="F197" s="50">
        <v>15000</v>
      </c>
      <c r="G197" s="51"/>
      <c r="H197" s="51"/>
      <c r="I197" s="51"/>
      <c r="J197" s="51">
        <v>25000</v>
      </c>
      <c r="K197" s="72">
        <v>-10000</v>
      </c>
      <c r="L197" s="51"/>
      <c r="M197" s="51"/>
      <c r="N197" s="51"/>
      <c r="O197" s="51">
        <v>615</v>
      </c>
      <c r="P197" s="51">
        <v>4126</v>
      </c>
      <c r="Q197" s="52">
        <f t="shared" si="78"/>
        <v>34741</v>
      </c>
      <c r="R197" s="50"/>
      <c r="S197" s="50"/>
      <c r="T197" s="50">
        <v>3000</v>
      </c>
      <c r="U197" s="50">
        <v>10370</v>
      </c>
      <c r="V197" s="50"/>
      <c r="W197" s="72">
        <v>-3000</v>
      </c>
      <c r="X197" s="50">
        <v>24164.7</v>
      </c>
      <c r="Y197" s="50"/>
      <c r="Z197" s="72">
        <v>-7884</v>
      </c>
      <c r="AA197" s="50">
        <v>3963.29</v>
      </c>
      <c r="AB197" s="50">
        <v>4127</v>
      </c>
      <c r="AC197" s="50"/>
      <c r="AD197" s="53">
        <f>SUM(R197:AC197)</f>
        <v>34740.99</v>
      </c>
      <c r="AE197" s="72">
        <f>Q197-AD197</f>
        <v>0.010000000002037268</v>
      </c>
      <c r="AF197" s="616">
        <f>AD197*100/Q197</f>
        <v>99.99997121556662</v>
      </c>
    </row>
    <row r="198" spans="2:32" s="34" customFormat="1" ht="25.5">
      <c r="B198" s="40"/>
      <c r="C198" s="48"/>
      <c r="D198" s="48">
        <v>6060</v>
      </c>
      <c r="E198" s="49" t="s">
        <v>396</v>
      </c>
      <c r="F198" s="50"/>
      <c r="G198" s="51"/>
      <c r="H198" s="51"/>
      <c r="I198" s="51"/>
      <c r="J198" s="51">
        <v>3000</v>
      </c>
      <c r="K198" s="51"/>
      <c r="L198" s="51"/>
      <c r="M198" s="51">
        <v>3100</v>
      </c>
      <c r="N198" s="51"/>
      <c r="O198" s="51"/>
      <c r="P198" s="72">
        <v>-5</v>
      </c>
      <c r="Q198" s="52">
        <f t="shared" si="78"/>
        <v>6095</v>
      </c>
      <c r="R198" s="50"/>
      <c r="S198" s="50"/>
      <c r="T198" s="50"/>
      <c r="U198" s="50"/>
      <c r="V198" s="50"/>
      <c r="W198" s="50">
        <v>3000</v>
      </c>
      <c r="X198" s="50"/>
      <c r="Y198" s="50"/>
      <c r="Z198" s="50">
        <v>3094.47</v>
      </c>
      <c r="AA198" s="50"/>
      <c r="AB198" s="50"/>
      <c r="AC198" s="50"/>
      <c r="AD198" s="53">
        <f>SUM(R198:AC198)</f>
        <v>6094.469999999999</v>
      </c>
      <c r="AE198" s="50">
        <f>Q198-AD198</f>
        <v>0.5300000000006548</v>
      </c>
      <c r="AF198" s="616">
        <f>AD198*100/Q198</f>
        <v>99.99130434782607</v>
      </c>
    </row>
    <row r="199" spans="2:32" s="34" customFormat="1" ht="12.75">
      <c r="B199" s="40"/>
      <c r="C199" s="42">
        <v>80110</v>
      </c>
      <c r="D199" s="42"/>
      <c r="E199" s="43" t="s">
        <v>359</v>
      </c>
      <c r="F199" s="44">
        <f>SUM(F200:F218)</f>
        <v>1618000</v>
      </c>
      <c r="G199" s="45">
        <f aca="true" t="shared" si="81" ref="G199:L199">SUM(G200:G218)</f>
        <v>0</v>
      </c>
      <c r="H199" s="45">
        <f t="shared" si="81"/>
        <v>0</v>
      </c>
      <c r="I199" s="45">
        <f t="shared" si="81"/>
        <v>0</v>
      </c>
      <c r="J199" s="45">
        <f>SUM(J200:J219)</f>
        <v>0</v>
      </c>
      <c r="K199" s="45">
        <f>SUM(K200:K219)</f>
        <v>0</v>
      </c>
      <c r="L199" s="45">
        <f t="shared" si="81"/>
        <v>0</v>
      </c>
      <c r="M199" s="45">
        <f>SUM(M200:M218)</f>
        <v>29671</v>
      </c>
      <c r="N199" s="45">
        <f>SUM(N200:N218)</f>
        <v>0</v>
      </c>
      <c r="O199" s="45">
        <f>SUM(O200:O218)</f>
        <v>53335</v>
      </c>
      <c r="P199" s="70">
        <f>SUM(P200:P218)</f>
        <v>-20652</v>
      </c>
      <c r="Q199" s="46">
        <f>SUM(Q200:Q219)</f>
        <v>1680354</v>
      </c>
      <c r="R199" s="44">
        <f>SUM(R200:R218)</f>
        <v>130734.71000000002</v>
      </c>
      <c r="S199" s="44">
        <f aca="true" t="shared" si="82" ref="S199:Z199">SUM(S200:S218)</f>
        <v>119486.03999999998</v>
      </c>
      <c r="T199" s="44">
        <f t="shared" si="82"/>
        <v>164231.28</v>
      </c>
      <c r="U199" s="44">
        <f t="shared" si="82"/>
        <v>154399.61</v>
      </c>
      <c r="V199" s="44">
        <f t="shared" si="82"/>
        <v>160618.51</v>
      </c>
      <c r="W199" s="44">
        <f>SUM(W200:W219)</f>
        <v>152386.31999999998</v>
      </c>
      <c r="X199" s="44">
        <f t="shared" si="82"/>
        <v>113607.87000000001</v>
      </c>
      <c r="Y199" s="44">
        <f>SUM(Y200:Y218)</f>
        <v>145061.08</v>
      </c>
      <c r="Z199" s="44">
        <f t="shared" si="82"/>
        <v>146855.05</v>
      </c>
      <c r="AA199" s="44">
        <f>SUM(AA200:AA219)</f>
        <v>121608.15999999997</v>
      </c>
      <c r="AB199" s="44">
        <f>SUM(AB200:AB218)</f>
        <v>123990.55</v>
      </c>
      <c r="AC199" s="44">
        <f>SUM(AC200:AC218)</f>
        <v>147367.04999999996</v>
      </c>
      <c r="AD199" s="44">
        <f>SUM(AD200:AD219)</f>
        <v>1680346.2299999997</v>
      </c>
      <c r="AE199" s="44">
        <f>SUM(AE200:AE219)</f>
        <v>7.769999999962749</v>
      </c>
      <c r="AF199" s="615">
        <f t="shared" si="71"/>
        <v>99.99953759743481</v>
      </c>
    </row>
    <row r="200" spans="2:32" s="34" customFormat="1" ht="25.5">
      <c r="B200" s="40"/>
      <c r="C200" s="42"/>
      <c r="D200" s="48">
        <v>3020</v>
      </c>
      <c r="E200" s="49" t="s">
        <v>530</v>
      </c>
      <c r="F200" s="50">
        <v>68000</v>
      </c>
      <c r="G200" s="51"/>
      <c r="H200" s="51"/>
      <c r="I200" s="51"/>
      <c r="J200" s="51"/>
      <c r="K200" s="51"/>
      <c r="L200" s="51"/>
      <c r="M200" s="51">
        <v>4000</v>
      </c>
      <c r="N200" s="51"/>
      <c r="O200" s="51">
        <v>6000</v>
      </c>
      <c r="P200" s="72">
        <v>-6514</v>
      </c>
      <c r="Q200" s="52">
        <f aca="true" t="shared" si="83" ref="Q200:Q219">F200+G200+H200+I200+J200+K200+L200+M200+N200+O200+P200</f>
        <v>71486</v>
      </c>
      <c r="R200" s="50">
        <v>5728.02</v>
      </c>
      <c r="S200" s="50">
        <v>5607.49</v>
      </c>
      <c r="T200" s="50">
        <v>6276.82</v>
      </c>
      <c r="U200" s="50">
        <v>5689.91</v>
      </c>
      <c r="V200" s="50">
        <v>6209.47</v>
      </c>
      <c r="W200" s="50">
        <v>6770.47</v>
      </c>
      <c r="X200" s="50">
        <v>5692.08</v>
      </c>
      <c r="Y200" s="50">
        <v>5546.84</v>
      </c>
      <c r="Z200" s="50">
        <v>5760.66</v>
      </c>
      <c r="AA200" s="50">
        <v>7841.15</v>
      </c>
      <c r="AB200" s="50">
        <v>5252.74</v>
      </c>
      <c r="AC200" s="50">
        <v>5109.67</v>
      </c>
      <c r="AD200" s="53">
        <f aca="true" t="shared" si="84" ref="AD200:AD219">SUM(R200:AC200)</f>
        <v>71485.32</v>
      </c>
      <c r="AE200" s="50">
        <f aca="true" t="shared" si="85" ref="AE200:AE218">Q200-AD200</f>
        <v>0.6799999999930151</v>
      </c>
      <c r="AF200" s="616">
        <f t="shared" si="71"/>
        <v>99.99904876479312</v>
      </c>
    </row>
    <row r="201" spans="2:32" s="34" customFormat="1" ht="12.75">
      <c r="B201" s="40"/>
      <c r="C201" s="42"/>
      <c r="D201" s="48">
        <v>4010</v>
      </c>
      <c r="E201" s="49" t="s">
        <v>524</v>
      </c>
      <c r="F201" s="50">
        <v>970000</v>
      </c>
      <c r="G201" s="51"/>
      <c r="H201" s="51"/>
      <c r="I201" s="51"/>
      <c r="J201" s="51"/>
      <c r="K201" s="51"/>
      <c r="L201" s="51"/>
      <c r="M201" s="51"/>
      <c r="N201" s="51"/>
      <c r="O201" s="51">
        <v>65000</v>
      </c>
      <c r="P201" s="72">
        <v>-2871</v>
      </c>
      <c r="Q201" s="52">
        <f t="shared" si="83"/>
        <v>1032129</v>
      </c>
      <c r="R201" s="50">
        <v>79992.55</v>
      </c>
      <c r="S201" s="50">
        <v>80836.05</v>
      </c>
      <c r="T201" s="50">
        <v>82492.97</v>
      </c>
      <c r="U201" s="50">
        <v>82145.4</v>
      </c>
      <c r="V201" s="50">
        <v>93022.91</v>
      </c>
      <c r="W201" s="50">
        <v>92504.2</v>
      </c>
      <c r="X201" s="50">
        <v>83855.08</v>
      </c>
      <c r="Y201" s="50">
        <v>80657.42</v>
      </c>
      <c r="Z201" s="50">
        <v>98947.18</v>
      </c>
      <c r="AA201" s="50">
        <v>90722.84</v>
      </c>
      <c r="AB201" s="50">
        <v>85994.12</v>
      </c>
      <c r="AC201" s="50">
        <v>80957.67</v>
      </c>
      <c r="AD201" s="53">
        <f t="shared" si="84"/>
        <v>1032128.39</v>
      </c>
      <c r="AE201" s="50">
        <f t="shared" si="85"/>
        <v>0.6099999999860302</v>
      </c>
      <c r="AF201" s="616">
        <f t="shared" si="71"/>
        <v>99.99994089886052</v>
      </c>
    </row>
    <row r="202" spans="2:32" s="34" customFormat="1" ht="12.75">
      <c r="B202" s="40"/>
      <c r="C202" s="42"/>
      <c r="D202" s="48">
        <v>4040</v>
      </c>
      <c r="E202" s="49" t="s">
        <v>531</v>
      </c>
      <c r="F202" s="50">
        <v>67800</v>
      </c>
      <c r="G202" s="51"/>
      <c r="H202" s="51"/>
      <c r="I202" s="51"/>
      <c r="J202" s="51">
        <v>763</v>
      </c>
      <c r="K202" s="51"/>
      <c r="L202" s="51"/>
      <c r="M202" s="51"/>
      <c r="N202" s="51"/>
      <c r="O202" s="51"/>
      <c r="P202" s="51"/>
      <c r="Q202" s="52">
        <f t="shared" si="83"/>
        <v>68563</v>
      </c>
      <c r="R202" s="50"/>
      <c r="S202" s="50"/>
      <c r="T202" s="50">
        <v>44444.7</v>
      </c>
      <c r="U202" s="50">
        <v>24118.25</v>
      </c>
      <c r="V202" s="50"/>
      <c r="W202" s="50"/>
      <c r="X202" s="50"/>
      <c r="Y202" s="50"/>
      <c r="Z202" s="50"/>
      <c r="AA202" s="50"/>
      <c r="AB202" s="50"/>
      <c r="AC202" s="50"/>
      <c r="AD202" s="53">
        <f t="shared" si="84"/>
        <v>68562.95</v>
      </c>
      <c r="AE202" s="50">
        <f t="shared" si="85"/>
        <v>0.05000000000291038</v>
      </c>
      <c r="AF202" s="616">
        <f t="shared" si="71"/>
        <v>99.99992707436955</v>
      </c>
    </row>
    <row r="203" spans="2:32" s="34" customFormat="1" ht="12.75">
      <c r="B203" s="40"/>
      <c r="C203" s="42"/>
      <c r="D203" s="48">
        <v>4110</v>
      </c>
      <c r="E203" s="49" t="s">
        <v>525</v>
      </c>
      <c r="F203" s="50">
        <v>198200</v>
      </c>
      <c r="G203" s="51"/>
      <c r="H203" s="51"/>
      <c r="I203" s="51"/>
      <c r="J203" s="51"/>
      <c r="K203" s="51"/>
      <c r="L203" s="51"/>
      <c r="M203" s="51"/>
      <c r="N203" s="51"/>
      <c r="O203" s="72">
        <v>-8000</v>
      </c>
      <c r="P203" s="72">
        <v>2386</v>
      </c>
      <c r="Q203" s="52">
        <f t="shared" si="83"/>
        <v>192586</v>
      </c>
      <c r="R203" s="50">
        <v>14563.98</v>
      </c>
      <c r="S203" s="50">
        <v>14191.57</v>
      </c>
      <c r="T203" s="50">
        <v>14967.79</v>
      </c>
      <c r="U203" s="50">
        <v>26688.13</v>
      </c>
      <c r="V203" s="50">
        <v>13329.48</v>
      </c>
      <c r="W203" s="50">
        <v>16674.94</v>
      </c>
      <c r="X203" s="50">
        <v>16091.91</v>
      </c>
      <c r="Y203" s="50">
        <v>13471.87</v>
      </c>
      <c r="Z203" s="50">
        <v>15050.49</v>
      </c>
      <c r="AA203" s="50">
        <v>14578.72</v>
      </c>
      <c r="AB203" s="50">
        <v>16730.83</v>
      </c>
      <c r="AC203" s="50">
        <v>16245.48</v>
      </c>
      <c r="AD203" s="53">
        <f t="shared" si="84"/>
        <v>192585.19000000003</v>
      </c>
      <c r="AE203" s="50">
        <f t="shared" si="85"/>
        <v>0.8099999999685679</v>
      </c>
      <c r="AF203" s="616">
        <f t="shared" si="71"/>
        <v>99.99957940867978</v>
      </c>
    </row>
    <row r="204" spans="2:32" s="34" customFormat="1" ht="12.75">
      <c r="B204" s="40"/>
      <c r="C204" s="42"/>
      <c r="D204" s="48">
        <v>4120</v>
      </c>
      <c r="E204" s="49" t="s">
        <v>532</v>
      </c>
      <c r="F204" s="50">
        <v>27000</v>
      </c>
      <c r="G204" s="51"/>
      <c r="H204" s="51"/>
      <c r="I204" s="51"/>
      <c r="J204" s="51"/>
      <c r="K204" s="51"/>
      <c r="L204" s="51"/>
      <c r="M204" s="51"/>
      <c r="N204" s="51"/>
      <c r="O204" s="51">
        <v>400</v>
      </c>
      <c r="P204" s="51">
        <v>349</v>
      </c>
      <c r="Q204" s="52">
        <f t="shared" si="83"/>
        <v>27749</v>
      </c>
      <c r="R204" s="50">
        <v>2035.91</v>
      </c>
      <c r="S204" s="50">
        <v>2084.48</v>
      </c>
      <c r="T204" s="50">
        <v>2121.2</v>
      </c>
      <c r="U204" s="50">
        <v>3838.42</v>
      </c>
      <c r="V204" s="50">
        <v>2087.09</v>
      </c>
      <c r="W204" s="50">
        <v>2583.37</v>
      </c>
      <c r="X204" s="50">
        <v>2277.98</v>
      </c>
      <c r="Y204" s="50">
        <v>2069.91</v>
      </c>
      <c r="Z204" s="50">
        <v>2126.51</v>
      </c>
      <c r="AA204" s="50">
        <v>2059.86</v>
      </c>
      <c r="AB204" s="50">
        <v>2339.77</v>
      </c>
      <c r="AC204" s="50">
        <v>2124.5</v>
      </c>
      <c r="AD204" s="53">
        <f t="shared" si="84"/>
        <v>27749.000000000004</v>
      </c>
      <c r="AE204" s="50">
        <f t="shared" si="85"/>
        <v>0</v>
      </c>
      <c r="AF204" s="616">
        <f t="shared" si="71"/>
        <v>100.00000000000001</v>
      </c>
    </row>
    <row r="205" spans="2:32" s="34" customFormat="1" ht="12.75">
      <c r="B205" s="40"/>
      <c r="C205" s="42"/>
      <c r="D205" s="48">
        <v>4210</v>
      </c>
      <c r="E205" s="49" t="s">
        <v>1201</v>
      </c>
      <c r="F205" s="50">
        <v>10000</v>
      </c>
      <c r="G205" s="51"/>
      <c r="H205" s="51"/>
      <c r="I205" s="51"/>
      <c r="J205" s="51">
        <v>11000</v>
      </c>
      <c r="K205" s="51">
        <v>2143</v>
      </c>
      <c r="L205" s="51"/>
      <c r="M205" s="72">
        <v>-129</v>
      </c>
      <c r="N205" s="72"/>
      <c r="O205" s="51">
        <v>2000</v>
      </c>
      <c r="P205" s="51">
        <v>4354</v>
      </c>
      <c r="Q205" s="52">
        <f t="shared" si="83"/>
        <v>29368</v>
      </c>
      <c r="R205" s="50">
        <v>5571.83</v>
      </c>
      <c r="S205" s="50">
        <v>4326.01</v>
      </c>
      <c r="T205" s="72">
        <v>-243.91</v>
      </c>
      <c r="U205" s="50">
        <v>3547.81</v>
      </c>
      <c r="V205" s="50">
        <v>4007.22</v>
      </c>
      <c r="W205" s="50">
        <v>3304.43</v>
      </c>
      <c r="X205" s="50">
        <v>437.55</v>
      </c>
      <c r="Y205" s="50">
        <v>-355.77</v>
      </c>
      <c r="Z205" s="50">
        <v>1621.67</v>
      </c>
      <c r="AA205" s="50">
        <v>1791.03</v>
      </c>
      <c r="AB205" s="50">
        <v>2261.79</v>
      </c>
      <c r="AC205" s="50">
        <v>3097.45</v>
      </c>
      <c r="AD205" s="53">
        <f t="shared" si="84"/>
        <v>29367.109999999997</v>
      </c>
      <c r="AE205" s="72">
        <f t="shared" si="85"/>
        <v>0.8900000000030559</v>
      </c>
      <c r="AF205" s="616">
        <f t="shared" si="71"/>
        <v>99.996969490602</v>
      </c>
    </row>
    <row r="206" spans="2:32" s="34" customFormat="1" ht="12.75">
      <c r="B206" s="40"/>
      <c r="C206" s="42"/>
      <c r="D206" s="48">
        <v>4240</v>
      </c>
      <c r="E206" s="49" t="s">
        <v>584</v>
      </c>
      <c r="F206" s="50">
        <v>3500</v>
      </c>
      <c r="G206" s="51"/>
      <c r="H206" s="51"/>
      <c r="I206" s="51"/>
      <c r="J206" s="51"/>
      <c r="K206" s="72">
        <v>-1000</v>
      </c>
      <c r="L206" s="51"/>
      <c r="M206" s="51"/>
      <c r="N206" s="51"/>
      <c r="O206" s="72">
        <v>-300</v>
      </c>
      <c r="P206" s="72">
        <v>-198</v>
      </c>
      <c r="Q206" s="52">
        <f t="shared" si="83"/>
        <v>2002</v>
      </c>
      <c r="R206" s="50">
        <v>79.96</v>
      </c>
      <c r="S206" s="50">
        <v>772.87</v>
      </c>
      <c r="T206" s="50">
        <v>287.5</v>
      </c>
      <c r="U206" s="50">
        <v>272</v>
      </c>
      <c r="V206" s="50">
        <v>415.87</v>
      </c>
      <c r="W206" s="50"/>
      <c r="X206" s="50"/>
      <c r="Y206" s="50">
        <v>13.9</v>
      </c>
      <c r="Z206" s="50"/>
      <c r="AA206" s="50">
        <v>89</v>
      </c>
      <c r="AB206" s="50">
        <v>70.6</v>
      </c>
      <c r="AC206" s="50"/>
      <c r="AD206" s="53">
        <f t="shared" si="84"/>
        <v>2001.6999999999998</v>
      </c>
      <c r="AE206" s="50">
        <f t="shared" si="85"/>
        <v>0.3000000000001819</v>
      </c>
      <c r="AF206" s="616">
        <f t="shared" si="71"/>
        <v>99.98501498501497</v>
      </c>
    </row>
    <row r="207" spans="2:32" s="34" customFormat="1" ht="12.75">
      <c r="B207" s="40"/>
      <c r="C207" s="42"/>
      <c r="D207" s="48">
        <v>4260</v>
      </c>
      <c r="E207" s="49" t="s">
        <v>527</v>
      </c>
      <c r="F207" s="50">
        <v>130000</v>
      </c>
      <c r="G207" s="51"/>
      <c r="H207" s="51"/>
      <c r="I207" s="51"/>
      <c r="J207" s="72">
        <v>-3563</v>
      </c>
      <c r="K207" s="51"/>
      <c r="L207" s="51"/>
      <c r="M207" s="51"/>
      <c r="N207" s="51"/>
      <c r="O207" s="72">
        <v>-10000</v>
      </c>
      <c r="P207" s="72">
        <v>-17340</v>
      </c>
      <c r="Q207" s="52">
        <f t="shared" si="83"/>
        <v>99097</v>
      </c>
      <c r="R207" s="50">
        <v>8850.65</v>
      </c>
      <c r="S207" s="50">
        <v>3621.01</v>
      </c>
      <c r="T207" s="50">
        <v>4668.69</v>
      </c>
      <c r="U207" s="50">
        <v>5219.54</v>
      </c>
      <c r="V207" s="50"/>
      <c r="W207" s="50">
        <v>28009</v>
      </c>
      <c r="X207" s="50">
        <v>3046.58</v>
      </c>
      <c r="Y207" s="50">
        <v>3043.02</v>
      </c>
      <c r="Z207" s="50">
        <v>1754.69</v>
      </c>
      <c r="AA207" s="50">
        <v>1726.96</v>
      </c>
      <c r="AB207" s="50">
        <v>5197.59</v>
      </c>
      <c r="AC207" s="50">
        <v>33958.89</v>
      </c>
      <c r="AD207" s="53">
        <f t="shared" si="84"/>
        <v>99096.62</v>
      </c>
      <c r="AE207" s="50">
        <f t="shared" si="85"/>
        <v>0.3800000000046566</v>
      </c>
      <c r="AF207" s="616">
        <f t="shared" si="71"/>
        <v>99.9996165373321</v>
      </c>
    </row>
    <row r="208" spans="2:32" s="34" customFormat="1" ht="12.75">
      <c r="B208" s="40"/>
      <c r="C208" s="42"/>
      <c r="D208" s="48">
        <v>4270</v>
      </c>
      <c r="E208" s="49" t="s">
        <v>1202</v>
      </c>
      <c r="F208" s="50">
        <v>1000</v>
      </c>
      <c r="G208" s="51"/>
      <c r="H208" s="51"/>
      <c r="I208" s="51"/>
      <c r="J208" s="51"/>
      <c r="K208" s="51"/>
      <c r="L208" s="51"/>
      <c r="M208" s="51"/>
      <c r="N208" s="51"/>
      <c r="O208" s="51"/>
      <c r="P208" s="72">
        <v>-51</v>
      </c>
      <c r="Q208" s="52">
        <f t="shared" si="83"/>
        <v>949</v>
      </c>
      <c r="R208" s="50"/>
      <c r="S208" s="50">
        <v>949</v>
      </c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3">
        <f>SUM(R208:AC208)</f>
        <v>949</v>
      </c>
      <c r="AE208" s="50">
        <f>Q208-AD208</f>
        <v>0</v>
      </c>
      <c r="AF208" s="616">
        <f>AD208*100/Q208</f>
        <v>100</v>
      </c>
    </row>
    <row r="209" spans="2:32" s="34" customFormat="1" ht="12.75">
      <c r="B209" s="40"/>
      <c r="C209" s="42"/>
      <c r="D209" s="48">
        <v>4280</v>
      </c>
      <c r="E209" s="49" t="s">
        <v>534</v>
      </c>
      <c r="F209" s="50">
        <v>2400</v>
      </c>
      <c r="G209" s="51"/>
      <c r="H209" s="51"/>
      <c r="I209" s="51"/>
      <c r="J209" s="51"/>
      <c r="K209" s="51"/>
      <c r="L209" s="51"/>
      <c r="M209" s="51"/>
      <c r="N209" s="51"/>
      <c r="O209" s="72">
        <v>-400</v>
      </c>
      <c r="P209" s="72">
        <v>-684</v>
      </c>
      <c r="Q209" s="52">
        <f t="shared" si="83"/>
        <v>1316</v>
      </c>
      <c r="R209" s="50"/>
      <c r="S209" s="50"/>
      <c r="T209" s="50"/>
      <c r="U209" s="50"/>
      <c r="V209" s="50"/>
      <c r="W209" s="50"/>
      <c r="X209" s="50"/>
      <c r="Y209" s="50"/>
      <c r="Z209" s="50">
        <v>201</v>
      </c>
      <c r="AA209" s="50">
        <v>46</v>
      </c>
      <c r="AB209" s="50">
        <v>1069</v>
      </c>
      <c r="AC209" s="50"/>
      <c r="AD209" s="53">
        <f>SUM(R209:AC209)</f>
        <v>1316</v>
      </c>
      <c r="AE209" s="50">
        <f>Q209-AD209</f>
        <v>0</v>
      </c>
      <c r="AF209" s="616">
        <f>AD209*100/Q209</f>
        <v>100</v>
      </c>
    </row>
    <row r="210" spans="2:32" s="34" customFormat="1" ht="12.75">
      <c r="B210" s="40"/>
      <c r="C210" s="42"/>
      <c r="D210" s="48">
        <v>4300</v>
      </c>
      <c r="E210" s="49" t="s">
        <v>1203</v>
      </c>
      <c r="F210" s="50">
        <v>4000</v>
      </c>
      <c r="G210" s="51">
        <v>8000</v>
      </c>
      <c r="H210" s="51"/>
      <c r="I210" s="51"/>
      <c r="J210" s="51"/>
      <c r="K210" s="51"/>
      <c r="L210" s="51"/>
      <c r="M210" s="51">
        <v>8000</v>
      </c>
      <c r="N210" s="51"/>
      <c r="O210" s="51">
        <v>5000</v>
      </c>
      <c r="P210" s="72">
        <v>-139</v>
      </c>
      <c r="Q210" s="52">
        <f t="shared" si="83"/>
        <v>24861</v>
      </c>
      <c r="R210" s="50">
        <v>9157.02</v>
      </c>
      <c r="S210" s="50">
        <v>2442.62</v>
      </c>
      <c r="T210" s="50">
        <v>211</v>
      </c>
      <c r="U210" s="50">
        <v>2021.68</v>
      </c>
      <c r="V210" s="50">
        <v>457.4</v>
      </c>
      <c r="W210" s="72">
        <v>-7087.63</v>
      </c>
      <c r="X210" s="50">
        <v>929.78</v>
      </c>
      <c r="Y210" s="50">
        <v>422.28</v>
      </c>
      <c r="Z210" s="50">
        <v>2059.39</v>
      </c>
      <c r="AA210" s="50">
        <v>8843.4</v>
      </c>
      <c r="AB210" s="50">
        <v>4085.24</v>
      </c>
      <c r="AC210" s="50">
        <v>1318.71</v>
      </c>
      <c r="AD210" s="53">
        <f t="shared" si="84"/>
        <v>24860.89</v>
      </c>
      <c r="AE210" s="50">
        <f t="shared" si="85"/>
        <v>0.11000000000058208</v>
      </c>
      <c r="AF210" s="616">
        <f aca="true" t="shared" si="86" ref="AF210:AF276">AD210*100/Q210</f>
        <v>99.99955753992197</v>
      </c>
    </row>
    <row r="211" spans="2:32" s="34" customFormat="1" ht="12.75">
      <c r="B211" s="40"/>
      <c r="C211" s="42"/>
      <c r="D211" s="48">
        <v>4350</v>
      </c>
      <c r="E211" s="49" t="s">
        <v>535</v>
      </c>
      <c r="F211" s="50">
        <v>2000</v>
      </c>
      <c r="G211" s="51"/>
      <c r="H211" s="51"/>
      <c r="I211" s="51"/>
      <c r="J211" s="72">
        <v>-1500</v>
      </c>
      <c r="K211" s="51"/>
      <c r="L211" s="51"/>
      <c r="M211" s="51"/>
      <c r="N211" s="51"/>
      <c r="O211" s="51"/>
      <c r="P211" s="72">
        <v>-201</v>
      </c>
      <c r="Q211" s="52">
        <f t="shared" si="83"/>
        <v>299</v>
      </c>
      <c r="R211" s="50"/>
      <c r="S211" s="50"/>
      <c r="T211" s="50"/>
      <c r="U211" s="50"/>
      <c r="V211" s="50">
        <v>62.16</v>
      </c>
      <c r="W211" s="50"/>
      <c r="X211" s="50">
        <v>79.3</v>
      </c>
      <c r="Y211" s="50"/>
      <c r="Z211" s="50"/>
      <c r="AA211" s="50">
        <v>60.39</v>
      </c>
      <c r="AB211" s="50">
        <v>96.38</v>
      </c>
      <c r="AC211" s="50"/>
      <c r="AD211" s="53">
        <f t="shared" si="84"/>
        <v>298.22999999999996</v>
      </c>
      <c r="AE211" s="50">
        <f t="shared" si="85"/>
        <v>0.7700000000000387</v>
      </c>
      <c r="AF211" s="616">
        <f t="shared" si="86"/>
        <v>99.74247491638795</v>
      </c>
    </row>
    <row r="212" spans="2:32" s="34" customFormat="1" ht="25.5">
      <c r="B212" s="40"/>
      <c r="C212" s="42"/>
      <c r="D212" s="48">
        <v>4360</v>
      </c>
      <c r="E212" s="49" t="s">
        <v>536</v>
      </c>
      <c r="F212" s="50"/>
      <c r="G212" s="51"/>
      <c r="H212" s="51"/>
      <c r="I212" s="51"/>
      <c r="J212" s="51">
        <v>300</v>
      </c>
      <c r="K212" s="51"/>
      <c r="L212" s="51"/>
      <c r="M212" s="51">
        <v>500</v>
      </c>
      <c r="N212" s="51"/>
      <c r="O212" s="51"/>
      <c r="P212" s="51">
        <v>197</v>
      </c>
      <c r="Q212" s="52">
        <f t="shared" si="83"/>
        <v>997</v>
      </c>
      <c r="R212" s="50"/>
      <c r="S212" s="50"/>
      <c r="T212" s="50"/>
      <c r="U212" s="50"/>
      <c r="V212" s="50"/>
      <c r="W212" s="50">
        <v>82.84</v>
      </c>
      <c r="X212" s="50">
        <v>192.45</v>
      </c>
      <c r="Y212" s="50">
        <v>105.81</v>
      </c>
      <c r="Z212" s="50">
        <v>136.12</v>
      </c>
      <c r="AA212" s="50">
        <v>119.12</v>
      </c>
      <c r="AB212" s="50">
        <v>166</v>
      </c>
      <c r="AC212" s="50">
        <v>194.2</v>
      </c>
      <c r="AD212" s="53">
        <f t="shared" si="84"/>
        <v>996.54</v>
      </c>
      <c r="AE212" s="72">
        <f>Q212-AD212</f>
        <v>0.4600000000000364</v>
      </c>
      <c r="AF212" s="616">
        <f>AD212*100/Q212</f>
        <v>99.95386158475426</v>
      </c>
    </row>
    <row r="213" spans="2:32" s="34" customFormat="1" ht="25.5">
      <c r="B213" s="40"/>
      <c r="C213" s="42"/>
      <c r="D213" s="48">
        <v>4370</v>
      </c>
      <c r="E213" s="49" t="s">
        <v>537</v>
      </c>
      <c r="F213" s="50">
        <v>3600</v>
      </c>
      <c r="G213" s="51"/>
      <c r="H213" s="51"/>
      <c r="I213" s="51"/>
      <c r="J213" s="51"/>
      <c r="K213" s="51"/>
      <c r="L213" s="51"/>
      <c r="M213" s="51"/>
      <c r="N213" s="51"/>
      <c r="O213" s="51"/>
      <c r="P213" s="72">
        <v>-254</v>
      </c>
      <c r="Q213" s="52">
        <f t="shared" si="83"/>
        <v>3346</v>
      </c>
      <c r="R213" s="50">
        <v>440.11</v>
      </c>
      <c r="S213" s="50">
        <v>495.98</v>
      </c>
      <c r="T213" s="50">
        <v>413.85</v>
      </c>
      <c r="U213" s="50">
        <v>487.58</v>
      </c>
      <c r="V213" s="50">
        <v>284.23</v>
      </c>
      <c r="W213" s="50">
        <v>386.57</v>
      </c>
      <c r="X213" s="50">
        <v>142.6</v>
      </c>
      <c r="Y213" s="50">
        <v>169.95</v>
      </c>
      <c r="Z213" s="50">
        <v>194.93</v>
      </c>
      <c r="AA213" s="50">
        <v>159.9</v>
      </c>
      <c r="AB213" s="50">
        <v>169.42</v>
      </c>
      <c r="AC213" s="50"/>
      <c r="AD213" s="53">
        <f t="shared" si="84"/>
        <v>3345.12</v>
      </c>
      <c r="AE213" s="50">
        <f t="shared" si="85"/>
        <v>0.8800000000001091</v>
      </c>
      <c r="AF213" s="616">
        <f t="shared" si="86"/>
        <v>99.97369994022714</v>
      </c>
    </row>
    <row r="214" spans="2:32" s="34" customFormat="1" ht="12.75">
      <c r="B214" s="40"/>
      <c r="C214" s="42"/>
      <c r="D214" s="48">
        <v>4410</v>
      </c>
      <c r="E214" s="49" t="s">
        <v>528</v>
      </c>
      <c r="F214" s="50">
        <v>3000</v>
      </c>
      <c r="G214" s="51"/>
      <c r="H214" s="51"/>
      <c r="I214" s="51"/>
      <c r="J214" s="51"/>
      <c r="K214" s="51"/>
      <c r="L214" s="51"/>
      <c r="M214" s="51"/>
      <c r="N214" s="51"/>
      <c r="O214" s="51">
        <v>400</v>
      </c>
      <c r="P214" s="51">
        <v>478</v>
      </c>
      <c r="Q214" s="52">
        <f t="shared" si="83"/>
        <v>3878</v>
      </c>
      <c r="R214" s="50"/>
      <c r="S214" s="50">
        <v>296.58</v>
      </c>
      <c r="T214" s="50">
        <v>349.87</v>
      </c>
      <c r="U214" s="50">
        <v>352.06</v>
      </c>
      <c r="V214" s="50">
        <v>406.42</v>
      </c>
      <c r="W214" s="50">
        <v>296.6</v>
      </c>
      <c r="X214" s="50">
        <v>174.17</v>
      </c>
      <c r="Y214" s="50">
        <v>211.86</v>
      </c>
      <c r="Z214" s="50">
        <v>299.41</v>
      </c>
      <c r="AA214" s="50">
        <v>681.04</v>
      </c>
      <c r="AB214" s="50">
        <v>529.17</v>
      </c>
      <c r="AC214" s="50">
        <v>280.3</v>
      </c>
      <c r="AD214" s="53">
        <f t="shared" si="84"/>
        <v>3877.4800000000005</v>
      </c>
      <c r="AE214" s="72">
        <f t="shared" si="85"/>
        <v>0.5199999999995271</v>
      </c>
      <c r="AF214" s="616">
        <f t="shared" si="86"/>
        <v>99.98659102630224</v>
      </c>
    </row>
    <row r="215" spans="2:32" s="34" customFormat="1" ht="12.75">
      <c r="B215" s="40"/>
      <c r="C215" s="42"/>
      <c r="D215" s="48">
        <v>4430</v>
      </c>
      <c r="E215" s="49" t="s">
        <v>585</v>
      </c>
      <c r="F215" s="50">
        <v>7000</v>
      </c>
      <c r="G215" s="51"/>
      <c r="H215" s="51"/>
      <c r="I215" s="51"/>
      <c r="J215" s="51"/>
      <c r="K215" s="51"/>
      <c r="L215" s="51"/>
      <c r="M215" s="51"/>
      <c r="N215" s="51"/>
      <c r="O215" s="72">
        <v>-3422</v>
      </c>
      <c r="P215" s="72"/>
      <c r="Q215" s="52">
        <f t="shared" si="83"/>
        <v>3578</v>
      </c>
      <c r="R215" s="50"/>
      <c r="S215" s="50"/>
      <c r="T215" s="50"/>
      <c r="U215" s="50"/>
      <c r="V215" s="50"/>
      <c r="W215" s="50"/>
      <c r="X215" s="50"/>
      <c r="Y215" s="50"/>
      <c r="Z215" s="50">
        <v>3578</v>
      </c>
      <c r="AA215" s="50"/>
      <c r="AB215" s="50"/>
      <c r="AC215" s="50"/>
      <c r="AD215" s="53">
        <f t="shared" si="84"/>
        <v>3578</v>
      </c>
      <c r="AE215" s="50">
        <f t="shared" si="85"/>
        <v>0</v>
      </c>
      <c r="AF215" s="616">
        <f t="shared" si="86"/>
        <v>100</v>
      </c>
    </row>
    <row r="216" spans="2:32" s="34" customFormat="1" ht="25.5">
      <c r="B216" s="40"/>
      <c r="C216" s="42"/>
      <c r="D216" s="48">
        <v>4440</v>
      </c>
      <c r="E216" s="49" t="s">
        <v>538</v>
      </c>
      <c r="F216" s="50">
        <v>60500</v>
      </c>
      <c r="G216" s="51"/>
      <c r="H216" s="51"/>
      <c r="I216" s="51"/>
      <c r="J216" s="51"/>
      <c r="K216" s="51"/>
      <c r="L216" s="51"/>
      <c r="M216" s="51"/>
      <c r="N216" s="51"/>
      <c r="O216" s="51">
        <v>3996</v>
      </c>
      <c r="P216" s="51"/>
      <c r="Q216" s="52">
        <f t="shared" si="83"/>
        <v>64496</v>
      </c>
      <c r="R216" s="50"/>
      <c r="S216" s="50"/>
      <c r="T216" s="50">
        <v>5375</v>
      </c>
      <c r="U216" s="50"/>
      <c r="V216" s="50">
        <v>40000</v>
      </c>
      <c r="W216" s="50"/>
      <c r="X216" s="50"/>
      <c r="Y216" s="50"/>
      <c r="Z216" s="50">
        <v>15125</v>
      </c>
      <c r="AA216" s="50"/>
      <c r="AB216" s="50"/>
      <c r="AC216" s="50">
        <v>3996</v>
      </c>
      <c r="AD216" s="53">
        <f t="shared" si="84"/>
        <v>64496</v>
      </c>
      <c r="AE216" s="50">
        <f t="shared" si="85"/>
        <v>0</v>
      </c>
      <c r="AF216" s="616">
        <f t="shared" si="86"/>
        <v>100</v>
      </c>
    </row>
    <row r="217" spans="2:32" s="34" customFormat="1" ht="25.5">
      <c r="B217" s="40"/>
      <c r="C217" s="42"/>
      <c r="D217" s="48">
        <v>4740</v>
      </c>
      <c r="E217" s="49" t="s">
        <v>497</v>
      </c>
      <c r="F217" s="50">
        <v>10000</v>
      </c>
      <c r="G217" s="51"/>
      <c r="H217" s="51"/>
      <c r="I217" s="51"/>
      <c r="J217" s="72">
        <v>-7000</v>
      </c>
      <c r="K217" s="72">
        <v>-500</v>
      </c>
      <c r="L217" s="51"/>
      <c r="M217" s="51"/>
      <c r="N217" s="51"/>
      <c r="O217" s="51"/>
      <c r="P217" s="72">
        <v>-164</v>
      </c>
      <c r="Q217" s="52">
        <f t="shared" si="83"/>
        <v>2336</v>
      </c>
      <c r="R217" s="50">
        <v>278.33</v>
      </c>
      <c r="S217" s="50">
        <v>602.4</v>
      </c>
      <c r="T217" s="50">
        <v>409.8</v>
      </c>
      <c r="U217" s="50">
        <v>18.83</v>
      </c>
      <c r="V217" s="50">
        <v>336.26</v>
      </c>
      <c r="W217" s="72">
        <v>-318.93</v>
      </c>
      <c r="X217" s="50">
        <v>688.39</v>
      </c>
      <c r="Y217" s="50"/>
      <c r="Z217" s="50"/>
      <c r="AA217" s="50">
        <v>208.75</v>
      </c>
      <c r="AB217" s="50">
        <v>27.9</v>
      </c>
      <c r="AC217" s="50">
        <v>84.18</v>
      </c>
      <c r="AD217" s="53">
        <f>SUM(R217:AC217)</f>
        <v>2335.91</v>
      </c>
      <c r="AE217" s="50">
        <f>Q217-AD217</f>
        <v>0.09000000000014552</v>
      </c>
      <c r="AF217" s="616">
        <f t="shared" si="86"/>
        <v>99.99614726027397</v>
      </c>
    </row>
    <row r="218" spans="2:32" s="34" customFormat="1" ht="12.75">
      <c r="B218" s="40"/>
      <c r="C218" s="42"/>
      <c r="D218" s="48">
        <v>6050</v>
      </c>
      <c r="E218" s="49" t="s">
        <v>1204</v>
      </c>
      <c r="F218" s="50">
        <v>50000</v>
      </c>
      <c r="G218" s="72">
        <v>-8000</v>
      </c>
      <c r="H218" s="51"/>
      <c r="I218" s="51"/>
      <c r="J218" s="72">
        <v>-7000</v>
      </c>
      <c r="K218" s="51"/>
      <c r="L218" s="51"/>
      <c r="M218" s="51">
        <v>17300</v>
      </c>
      <c r="N218" s="51"/>
      <c r="O218" s="72">
        <v>-7339</v>
      </c>
      <c r="P218" s="72"/>
      <c r="Q218" s="52">
        <f t="shared" si="83"/>
        <v>44961</v>
      </c>
      <c r="R218" s="50">
        <v>4036.35</v>
      </c>
      <c r="S218" s="50">
        <v>3259.98</v>
      </c>
      <c r="T218" s="50">
        <v>2456</v>
      </c>
      <c r="U218" s="50"/>
      <c r="V218" s="50"/>
      <c r="W218" s="50">
        <v>2824.02</v>
      </c>
      <c r="X218" s="50"/>
      <c r="Y218" s="50">
        <v>39703.99</v>
      </c>
      <c r="Z218" s="50"/>
      <c r="AA218" s="72">
        <v>-7320</v>
      </c>
      <c r="AB218" s="50"/>
      <c r="AC218" s="50"/>
      <c r="AD218" s="53">
        <f t="shared" si="84"/>
        <v>44960.34</v>
      </c>
      <c r="AE218" s="50">
        <f t="shared" si="85"/>
        <v>0.6600000000034925</v>
      </c>
      <c r="AF218" s="616">
        <f t="shared" si="86"/>
        <v>99.99853206111963</v>
      </c>
    </row>
    <row r="219" spans="2:32" s="34" customFormat="1" ht="25.5">
      <c r="B219" s="40"/>
      <c r="C219" s="42"/>
      <c r="D219" s="48">
        <v>6060</v>
      </c>
      <c r="E219" s="49" t="s">
        <v>396</v>
      </c>
      <c r="F219" s="50"/>
      <c r="G219" s="72"/>
      <c r="H219" s="51"/>
      <c r="I219" s="51"/>
      <c r="J219" s="51">
        <v>7000</v>
      </c>
      <c r="K219" s="72">
        <v>-643</v>
      </c>
      <c r="L219" s="51"/>
      <c r="M219" s="51"/>
      <c r="N219" s="51"/>
      <c r="O219" s="51"/>
      <c r="P219" s="51"/>
      <c r="Q219" s="52">
        <f t="shared" si="83"/>
        <v>6357</v>
      </c>
      <c r="R219" s="50"/>
      <c r="S219" s="50"/>
      <c r="T219" s="50"/>
      <c r="U219" s="50"/>
      <c r="V219" s="50"/>
      <c r="W219" s="50">
        <v>6356.44</v>
      </c>
      <c r="X219" s="50"/>
      <c r="Y219" s="50"/>
      <c r="Z219" s="50"/>
      <c r="AA219" s="50"/>
      <c r="AB219" s="50"/>
      <c r="AC219" s="50"/>
      <c r="AD219" s="53">
        <f t="shared" si="84"/>
        <v>6356.44</v>
      </c>
      <c r="AE219" s="50">
        <f>Q219-AD219</f>
        <v>0.5600000000004002</v>
      </c>
      <c r="AF219" s="616">
        <f>AD219*100/Q219</f>
        <v>99.9911908132767</v>
      </c>
    </row>
    <row r="220" spans="2:32" s="34" customFormat="1" ht="12.75">
      <c r="B220" s="40"/>
      <c r="C220" s="42">
        <v>80113</v>
      </c>
      <c r="D220" s="42"/>
      <c r="E220" s="43" t="s">
        <v>364</v>
      </c>
      <c r="F220" s="44">
        <f>SUM(F221:F228)</f>
        <v>293910</v>
      </c>
      <c r="G220" s="45">
        <f aca="true" t="shared" si="87" ref="G220:Z220">SUM(G221:G228)</f>
        <v>0</v>
      </c>
      <c r="H220" s="45">
        <f t="shared" si="87"/>
        <v>0</v>
      </c>
      <c r="I220" s="45">
        <f t="shared" si="87"/>
        <v>0</v>
      </c>
      <c r="J220" s="45">
        <f t="shared" si="87"/>
        <v>0</v>
      </c>
      <c r="K220" s="45">
        <f t="shared" si="87"/>
        <v>20000</v>
      </c>
      <c r="L220" s="45">
        <f t="shared" si="87"/>
        <v>0</v>
      </c>
      <c r="M220" s="45">
        <f t="shared" si="87"/>
        <v>0</v>
      </c>
      <c r="N220" s="45">
        <f t="shared" si="87"/>
        <v>0</v>
      </c>
      <c r="O220" s="70">
        <f t="shared" si="87"/>
        <v>-21410</v>
      </c>
      <c r="P220" s="45">
        <f t="shared" si="87"/>
        <v>29609</v>
      </c>
      <c r="Q220" s="46">
        <f t="shared" si="87"/>
        <v>322109</v>
      </c>
      <c r="R220" s="44">
        <f t="shared" si="87"/>
        <v>29733.620000000003</v>
      </c>
      <c r="S220" s="44">
        <f t="shared" si="87"/>
        <v>24192.32</v>
      </c>
      <c r="T220" s="44">
        <f t="shared" si="87"/>
        <v>40390.240000000005</v>
      </c>
      <c r="U220" s="44">
        <f t="shared" si="87"/>
        <v>41677.119999999995</v>
      </c>
      <c r="V220" s="44">
        <f t="shared" si="87"/>
        <v>32766.02</v>
      </c>
      <c r="W220" s="44">
        <f t="shared" si="87"/>
        <v>34842.020000000004</v>
      </c>
      <c r="X220" s="44">
        <f t="shared" si="87"/>
        <v>30153.11</v>
      </c>
      <c r="Y220" s="44">
        <f>SUM(Y221:Y228)</f>
        <v>2937.4300000000003</v>
      </c>
      <c r="Z220" s="44">
        <f t="shared" si="87"/>
        <v>3145.9700000000003</v>
      </c>
      <c r="AA220" s="44">
        <f>SUM(AA221:AA228)</f>
        <v>36990.44</v>
      </c>
      <c r="AB220" s="44">
        <f>SUM(AB221:AB228)</f>
        <v>41892.21</v>
      </c>
      <c r="AC220" s="44">
        <f>SUM(AC221:AC228)</f>
        <v>3386.64</v>
      </c>
      <c r="AD220" s="44">
        <f>SUM(AD221:AD228)</f>
        <v>322107.1400000001</v>
      </c>
      <c r="AE220" s="70">
        <f>SUM(AE221:AE228)</f>
        <v>1.8599999999353827</v>
      </c>
      <c r="AF220" s="615">
        <f t="shared" si="86"/>
        <v>99.99942255571874</v>
      </c>
    </row>
    <row r="221" spans="2:32" s="34" customFormat="1" ht="25.5">
      <c r="B221" s="40"/>
      <c r="C221" s="42"/>
      <c r="D221" s="48">
        <v>3020</v>
      </c>
      <c r="E221" s="49" t="s">
        <v>530</v>
      </c>
      <c r="F221" s="50">
        <v>350</v>
      </c>
      <c r="G221" s="51"/>
      <c r="H221" s="51"/>
      <c r="I221" s="51"/>
      <c r="J221" s="51"/>
      <c r="K221" s="51"/>
      <c r="L221" s="51"/>
      <c r="M221" s="51"/>
      <c r="N221" s="51"/>
      <c r="O221" s="72">
        <v>-10</v>
      </c>
      <c r="P221" s="72">
        <v>-8</v>
      </c>
      <c r="Q221" s="52">
        <f aca="true" t="shared" si="88" ref="Q221:Q228">F221+G221+H221+I221+J221+K221+L221+M221+N221+O221+P221</f>
        <v>332</v>
      </c>
      <c r="R221" s="50">
        <v>93.32</v>
      </c>
      <c r="S221" s="50"/>
      <c r="T221" s="50"/>
      <c r="U221" s="50"/>
      <c r="V221" s="50"/>
      <c r="W221" s="50">
        <v>85.02</v>
      </c>
      <c r="X221" s="50"/>
      <c r="Y221" s="50"/>
      <c r="Z221" s="50"/>
      <c r="AA221" s="50">
        <v>117</v>
      </c>
      <c r="AB221" s="50">
        <v>36.64</v>
      </c>
      <c r="AC221" s="50"/>
      <c r="AD221" s="53">
        <f aca="true" t="shared" si="89" ref="AD221:AD228">SUM(R221:AC221)</f>
        <v>331.97999999999996</v>
      </c>
      <c r="AE221" s="50">
        <f aca="true" t="shared" si="90" ref="AE221:AE228">Q221-AD221</f>
        <v>0.020000000000038654</v>
      </c>
      <c r="AF221" s="616">
        <f t="shared" si="86"/>
        <v>99.99397590361444</v>
      </c>
    </row>
    <row r="222" spans="2:32" s="34" customFormat="1" ht="12.75">
      <c r="B222" s="40"/>
      <c r="C222" s="42"/>
      <c r="D222" s="48">
        <v>4010</v>
      </c>
      <c r="E222" s="49" t="s">
        <v>524</v>
      </c>
      <c r="F222" s="50">
        <v>31710</v>
      </c>
      <c r="G222" s="51"/>
      <c r="H222" s="51"/>
      <c r="I222" s="51"/>
      <c r="J222" s="51">
        <v>438</v>
      </c>
      <c r="K222" s="51"/>
      <c r="L222" s="51"/>
      <c r="M222" s="51"/>
      <c r="N222" s="51"/>
      <c r="O222" s="72">
        <v>-700</v>
      </c>
      <c r="P222" s="72">
        <v>-467</v>
      </c>
      <c r="Q222" s="52">
        <f t="shared" si="88"/>
        <v>30981</v>
      </c>
      <c r="R222" s="50">
        <v>2733.97</v>
      </c>
      <c r="S222" s="50">
        <v>2777.64</v>
      </c>
      <c r="T222" s="50">
        <v>2973.56</v>
      </c>
      <c r="U222" s="50">
        <v>2808.66</v>
      </c>
      <c r="V222" s="50">
        <v>2850.7</v>
      </c>
      <c r="W222" s="50">
        <v>2777.64</v>
      </c>
      <c r="X222" s="50">
        <v>2389.1</v>
      </c>
      <c r="Y222" s="50">
        <v>2208.84</v>
      </c>
      <c r="Z222" s="50">
        <v>2208.84</v>
      </c>
      <c r="AA222" s="50">
        <v>2619.33</v>
      </c>
      <c r="AB222" s="50">
        <v>2414.1</v>
      </c>
      <c r="AC222" s="50">
        <v>2218.32</v>
      </c>
      <c r="AD222" s="53">
        <f t="shared" si="89"/>
        <v>30980.699999999997</v>
      </c>
      <c r="AE222" s="50">
        <f t="shared" si="90"/>
        <v>0.3000000000029104</v>
      </c>
      <c r="AF222" s="616">
        <f t="shared" si="86"/>
        <v>99.99903166456859</v>
      </c>
    </row>
    <row r="223" spans="2:32" s="34" customFormat="1" ht="12.75">
      <c r="B223" s="40"/>
      <c r="C223" s="42"/>
      <c r="D223" s="48">
        <v>4040</v>
      </c>
      <c r="E223" s="49" t="s">
        <v>531</v>
      </c>
      <c r="F223" s="50">
        <v>2500</v>
      </c>
      <c r="G223" s="51"/>
      <c r="H223" s="51"/>
      <c r="I223" s="51"/>
      <c r="J223" s="72">
        <v>-438</v>
      </c>
      <c r="K223" s="51"/>
      <c r="L223" s="51"/>
      <c r="M223" s="51"/>
      <c r="N223" s="51"/>
      <c r="O223" s="72"/>
      <c r="P223" s="72"/>
      <c r="Q223" s="52">
        <f t="shared" si="88"/>
        <v>2062</v>
      </c>
      <c r="R223" s="50"/>
      <c r="S223" s="50"/>
      <c r="T223" s="50">
        <v>1336.03</v>
      </c>
      <c r="U223" s="50">
        <v>725.54</v>
      </c>
      <c r="V223" s="50"/>
      <c r="W223" s="50"/>
      <c r="X223" s="50"/>
      <c r="Y223" s="50"/>
      <c r="Z223" s="50"/>
      <c r="AA223" s="50"/>
      <c r="AB223" s="50"/>
      <c r="AC223" s="50"/>
      <c r="AD223" s="53">
        <f t="shared" si="89"/>
        <v>2061.5699999999997</v>
      </c>
      <c r="AE223" s="50">
        <f t="shared" si="90"/>
        <v>0.43000000000029104</v>
      </c>
      <c r="AF223" s="616">
        <f t="shared" si="86"/>
        <v>99.97914645974781</v>
      </c>
    </row>
    <row r="224" spans="2:32" s="34" customFormat="1" ht="12.75">
      <c r="B224" s="40"/>
      <c r="C224" s="42"/>
      <c r="D224" s="48">
        <v>4110</v>
      </c>
      <c r="E224" s="49" t="s">
        <v>525</v>
      </c>
      <c r="F224" s="50">
        <v>6150</v>
      </c>
      <c r="G224" s="51"/>
      <c r="H224" s="51"/>
      <c r="I224" s="51"/>
      <c r="J224" s="51"/>
      <c r="K224" s="51"/>
      <c r="L224" s="51"/>
      <c r="M224" s="51"/>
      <c r="N224" s="51"/>
      <c r="O224" s="72">
        <v>-350</v>
      </c>
      <c r="P224" s="72">
        <v>-23</v>
      </c>
      <c r="Q224" s="52">
        <f t="shared" si="88"/>
        <v>5777</v>
      </c>
      <c r="R224" s="50">
        <v>455.22</v>
      </c>
      <c r="S224" s="50">
        <v>481.63</v>
      </c>
      <c r="T224" s="50">
        <v>481.63</v>
      </c>
      <c r="U224" s="50">
        <v>891.13</v>
      </c>
      <c r="V224" s="50">
        <v>481.63</v>
      </c>
      <c r="W224" s="50">
        <v>481.63</v>
      </c>
      <c r="X224" s="50">
        <v>481.63</v>
      </c>
      <c r="Y224" s="50">
        <v>383.01</v>
      </c>
      <c r="Z224" s="50">
        <v>383.01</v>
      </c>
      <c r="AA224" s="50">
        <v>383.01</v>
      </c>
      <c r="AB224" s="50">
        <v>488.7</v>
      </c>
      <c r="AC224" s="50">
        <v>384.66</v>
      </c>
      <c r="AD224" s="53">
        <f t="shared" si="89"/>
        <v>5776.89</v>
      </c>
      <c r="AE224" s="50">
        <f t="shared" si="90"/>
        <v>0.10999999999967258</v>
      </c>
      <c r="AF224" s="616">
        <f t="shared" si="86"/>
        <v>99.99809589752466</v>
      </c>
    </row>
    <row r="225" spans="2:32" s="34" customFormat="1" ht="12.75">
      <c r="B225" s="40"/>
      <c r="C225" s="42"/>
      <c r="D225" s="48">
        <v>4120</v>
      </c>
      <c r="E225" s="49" t="s">
        <v>532</v>
      </c>
      <c r="F225" s="50">
        <v>900</v>
      </c>
      <c r="G225" s="51"/>
      <c r="H225" s="51"/>
      <c r="I225" s="51"/>
      <c r="J225" s="51"/>
      <c r="K225" s="51"/>
      <c r="L225" s="51"/>
      <c r="M225" s="51"/>
      <c r="N225" s="51"/>
      <c r="O225" s="72">
        <v>-50</v>
      </c>
      <c r="P225" s="72">
        <v>-33</v>
      </c>
      <c r="Q225" s="52">
        <f t="shared" si="88"/>
        <v>817</v>
      </c>
      <c r="R225" s="50">
        <v>64.32</v>
      </c>
      <c r="S225" s="50">
        <v>68.05</v>
      </c>
      <c r="T225" s="50">
        <v>68.05</v>
      </c>
      <c r="U225" s="50">
        <v>125.91</v>
      </c>
      <c r="V225" s="50">
        <v>68.05</v>
      </c>
      <c r="W225" s="50">
        <v>68.05</v>
      </c>
      <c r="X225" s="50">
        <v>68.05</v>
      </c>
      <c r="Y225" s="50">
        <v>54.12</v>
      </c>
      <c r="Z225" s="50">
        <v>54.12</v>
      </c>
      <c r="AA225" s="50">
        <v>54.12</v>
      </c>
      <c r="AB225" s="50">
        <v>69.05</v>
      </c>
      <c r="AC225" s="50">
        <v>54.35</v>
      </c>
      <c r="AD225" s="53">
        <f t="shared" si="89"/>
        <v>816.24</v>
      </c>
      <c r="AE225" s="50">
        <f t="shared" si="90"/>
        <v>0.7599999999999909</v>
      </c>
      <c r="AF225" s="616">
        <f t="shared" si="86"/>
        <v>99.90697674418605</v>
      </c>
    </row>
    <row r="226" spans="2:32" s="34" customFormat="1" ht="12.75">
      <c r="B226" s="40"/>
      <c r="C226" s="42"/>
      <c r="D226" s="48">
        <v>4280</v>
      </c>
      <c r="E226" s="49" t="s">
        <v>534</v>
      </c>
      <c r="F226" s="50">
        <v>300</v>
      </c>
      <c r="G226" s="51"/>
      <c r="H226" s="51"/>
      <c r="I226" s="51"/>
      <c r="J226" s="51"/>
      <c r="K226" s="51"/>
      <c r="L226" s="51"/>
      <c r="M226" s="51"/>
      <c r="N226" s="51"/>
      <c r="O226" s="72">
        <v>-300</v>
      </c>
      <c r="P226" s="72"/>
      <c r="Q226" s="52">
        <f t="shared" si="88"/>
        <v>0</v>
      </c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3">
        <f>SUM(R226:AC226)</f>
        <v>0</v>
      </c>
      <c r="AE226" s="50">
        <f>Q226-AD226</f>
        <v>0</v>
      </c>
      <c r="AF226" s="616"/>
    </row>
    <row r="227" spans="2:32" s="34" customFormat="1" ht="15.75" customHeight="1">
      <c r="B227" s="40"/>
      <c r="C227" s="48"/>
      <c r="D227" s="48">
        <v>4300</v>
      </c>
      <c r="E227" s="49" t="s">
        <v>1203</v>
      </c>
      <c r="F227" s="50">
        <v>250000</v>
      </c>
      <c r="G227" s="51"/>
      <c r="H227" s="51"/>
      <c r="I227" s="51"/>
      <c r="J227" s="51"/>
      <c r="K227" s="51">
        <v>20000</v>
      </c>
      <c r="L227" s="51"/>
      <c r="M227" s="51"/>
      <c r="N227" s="51"/>
      <c r="O227" s="72">
        <v>-20000</v>
      </c>
      <c r="P227" s="51">
        <v>30140</v>
      </c>
      <c r="Q227" s="52">
        <f t="shared" si="88"/>
        <v>280140</v>
      </c>
      <c r="R227" s="50">
        <v>26386.79</v>
      </c>
      <c r="S227" s="50">
        <v>20865</v>
      </c>
      <c r="T227" s="50">
        <v>34030.97</v>
      </c>
      <c r="U227" s="50">
        <v>37125.88</v>
      </c>
      <c r="V227" s="50">
        <v>29365.64</v>
      </c>
      <c r="W227" s="50">
        <v>31429.68</v>
      </c>
      <c r="X227" s="50">
        <v>27214.33</v>
      </c>
      <c r="Y227" s="50">
        <v>291.46</v>
      </c>
      <c r="Z227" s="50"/>
      <c r="AA227" s="50">
        <v>33816.98</v>
      </c>
      <c r="AB227" s="50">
        <v>38883.72</v>
      </c>
      <c r="AC227" s="50">
        <v>729.31</v>
      </c>
      <c r="AD227" s="53">
        <f t="shared" si="89"/>
        <v>280139.76000000007</v>
      </c>
      <c r="AE227" s="72">
        <f t="shared" si="90"/>
        <v>0.2399999999324791</v>
      </c>
      <c r="AF227" s="616">
        <f t="shared" si="86"/>
        <v>99.99991432855003</v>
      </c>
    </row>
    <row r="228" spans="2:32" s="34" customFormat="1" ht="20.25" customHeight="1">
      <c r="B228" s="40"/>
      <c r="C228" s="48"/>
      <c r="D228" s="48">
        <v>4440</v>
      </c>
      <c r="E228" s="49" t="s">
        <v>538</v>
      </c>
      <c r="F228" s="50">
        <v>2000</v>
      </c>
      <c r="G228" s="51"/>
      <c r="H228" s="51"/>
      <c r="I228" s="51"/>
      <c r="J228" s="51"/>
      <c r="K228" s="51"/>
      <c r="L228" s="51"/>
      <c r="M228" s="51"/>
      <c r="N228" s="51"/>
      <c r="O228" s="72"/>
      <c r="P228" s="72"/>
      <c r="Q228" s="52">
        <f t="shared" si="88"/>
        <v>2000</v>
      </c>
      <c r="R228" s="50"/>
      <c r="S228" s="50"/>
      <c r="T228" s="50">
        <v>1500</v>
      </c>
      <c r="U228" s="50"/>
      <c r="V228" s="50"/>
      <c r="W228" s="50"/>
      <c r="X228" s="50"/>
      <c r="Y228" s="50"/>
      <c r="Z228" s="50">
        <v>500</v>
      </c>
      <c r="AA228" s="50"/>
      <c r="AB228" s="50"/>
      <c r="AC228" s="50"/>
      <c r="AD228" s="53">
        <f t="shared" si="89"/>
        <v>2000</v>
      </c>
      <c r="AE228" s="50">
        <f t="shared" si="90"/>
        <v>0</v>
      </c>
      <c r="AF228" s="616">
        <f t="shared" si="86"/>
        <v>100</v>
      </c>
    </row>
    <row r="229" spans="2:32" s="34" customFormat="1" ht="12.75">
      <c r="B229" s="40"/>
      <c r="C229" s="42">
        <v>80114</v>
      </c>
      <c r="D229" s="42"/>
      <c r="E229" s="43" t="s">
        <v>588</v>
      </c>
      <c r="F229" s="44">
        <f>SUM(F230:F242)</f>
        <v>180750</v>
      </c>
      <c r="G229" s="45">
        <f aca="true" t="shared" si="91" ref="G229:L229">SUM(G230:G242)</f>
        <v>0</v>
      </c>
      <c r="H229" s="45">
        <f t="shared" si="91"/>
        <v>0</v>
      </c>
      <c r="I229" s="45">
        <f t="shared" si="91"/>
        <v>0</v>
      </c>
      <c r="J229" s="45">
        <f>SUM(J231:J243)</f>
        <v>0</v>
      </c>
      <c r="K229" s="45">
        <f>SUM(K230:K243)</f>
        <v>0</v>
      </c>
      <c r="L229" s="45">
        <f t="shared" si="91"/>
        <v>0</v>
      </c>
      <c r="M229" s="45">
        <f>SUM(M230:M242)</f>
        <v>5429</v>
      </c>
      <c r="N229" s="45">
        <f>SUM(N230:N242)</f>
        <v>0</v>
      </c>
      <c r="O229" s="45">
        <f>SUM(O230:O242)</f>
        <v>5135</v>
      </c>
      <c r="P229" s="70">
        <f>SUM(P230:P242)</f>
        <v>-1554</v>
      </c>
      <c r="Q229" s="46">
        <f>SUM(Q230:Q243)</f>
        <v>189760</v>
      </c>
      <c r="R229" s="44">
        <f>SUM(R230:R242)</f>
        <v>18088.370000000003</v>
      </c>
      <c r="S229" s="44">
        <f aca="true" t="shared" si="92" ref="S229:Z229">SUM(S230:S242)</f>
        <v>11746.359999999999</v>
      </c>
      <c r="T229" s="44">
        <f t="shared" si="92"/>
        <v>22967.75</v>
      </c>
      <c r="U229" s="44">
        <f t="shared" si="92"/>
        <v>19974.19</v>
      </c>
      <c r="V229" s="44">
        <f t="shared" si="92"/>
        <v>14360.75</v>
      </c>
      <c r="W229" s="44">
        <f>SUM(W230:W243)</f>
        <v>13894.83</v>
      </c>
      <c r="X229" s="44">
        <f t="shared" si="92"/>
        <v>14029.509999999998</v>
      </c>
      <c r="Y229" s="44">
        <f>SUM(Y230:Y242)</f>
        <v>14936.019999999999</v>
      </c>
      <c r="Z229" s="44">
        <f t="shared" si="92"/>
        <v>14194.909999999998</v>
      </c>
      <c r="AA229" s="44">
        <f>SUM(AA230:AA242)</f>
        <v>14455.65</v>
      </c>
      <c r="AB229" s="44">
        <f>SUM(AB230:AB242)</f>
        <v>18242.340000000004</v>
      </c>
      <c r="AC229" s="44">
        <f>SUM(AC230:AC242)</f>
        <v>12864.949999999999</v>
      </c>
      <c r="AD229" s="44">
        <f>SUM(AD230:AD243)</f>
        <v>189755.62999999998</v>
      </c>
      <c r="AE229" s="44">
        <f>SUM(AE230:AE243)</f>
        <v>4.369999999995372</v>
      </c>
      <c r="AF229" s="615">
        <f t="shared" si="86"/>
        <v>99.99769709106238</v>
      </c>
    </row>
    <row r="230" spans="2:32" s="34" customFormat="1" ht="25.5">
      <c r="B230" s="40"/>
      <c r="C230" s="48"/>
      <c r="D230" s="48">
        <v>3020</v>
      </c>
      <c r="E230" s="49" t="s">
        <v>530</v>
      </c>
      <c r="F230" s="50">
        <v>400</v>
      </c>
      <c r="G230" s="51"/>
      <c r="H230" s="51"/>
      <c r="I230" s="51"/>
      <c r="J230" s="51"/>
      <c r="K230" s="51"/>
      <c r="L230" s="51"/>
      <c r="M230" s="51"/>
      <c r="N230" s="51"/>
      <c r="O230" s="51">
        <v>35</v>
      </c>
      <c r="P230" s="51"/>
      <c r="Q230" s="52">
        <f aca="true" t="shared" si="93" ref="Q230:Q243">F230+G230+H230+I230+J230+K230+L230+M230+N230+O230+P230</f>
        <v>435</v>
      </c>
      <c r="R230" s="50">
        <v>93.41</v>
      </c>
      <c r="S230" s="50"/>
      <c r="T230" s="50"/>
      <c r="U230" s="50"/>
      <c r="V230" s="50"/>
      <c r="W230" s="50">
        <v>110.73</v>
      </c>
      <c r="X230" s="50"/>
      <c r="Y230" s="50"/>
      <c r="Z230" s="50"/>
      <c r="AA230" s="50">
        <v>175.5</v>
      </c>
      <c r="AB230" s="50">
        <v>54.98</v>
      </c>
      <c r="AC230" s="50"/>
      <c r="AD230" s="53">
        <f aca="true" t="shared" si="94" ref="AD230:AD241">SUM(R230:AC230)</f>
        <v>434.62</v>
      </c>
      <c r="AE230" s="50">
        <f aca="true" t="shared" si="95" ref="AE230:AE241">Q230-AD230</f>
        <v>0.37999999999999545</v>
      </c>
      <c r="AF230" s="616">
        <f t="shared" si="86"/>
        <v>99.91264367816092</v>
      </c>
    </row>
    <row r="231" spans="2:32" s="34" customFormat="1" ht="12.75">
      <c r="B231" s="40"/>
      <c r="C231" s="48"/>
      <c r="D231" s="48">
        <v>4010</v>
      </c>
      <c r="E231" s="49" t="s">
        <v>524</v>
      </c>
      <c r="F231" s="50">
        <v>120000</v>
      </c>
      <c r="G231" s="51"/>
      <c r="H231" s="51"/>
      <c r="I231" s="51"/>
      <c r="J231" s="51">
        <v>1500</v>
      </c>
      <c r="K231" s="51"/>
      <c r="L231" s="51"/>
      <c r="M231" s="51"/>
      <c r="N231" s="51"/>
      <c r="O231" s="51">
        <v>3500</v>
      </c>
      <c r="P231" s="72">
        <v>-1219</v>
      </c>
      <c r="Q231" s="52">
        <f t="shared" si="93"/>
        <v>123781</v>
      </c>
      <c r="R231" s="50">
        <v>8735.78</v>
      </c>
      <c r="S231" s="50">
        <v>9879.23</v>
      </c>
      <c r="T231" s="50">
        <v>10763.09</v>
      </c>
      <c r="U231" s="50">
        <v>10282.01</v>
      </c>
      <c r="V231" s="50">
        <v>10988.38</v>
      </c>
      <c r="W231" s="50">
        <v>10295.64</v>
      </c>
      <c r="X231" s="50">
        <v>9977.02</v>
      </c>
      <c r="Y231" s="50">
        <v>9744</v>
      </c>
      <c r="Z231" s="50">
        <v>9744</v>
      </c>
      <c r="AA231" s="50">
        <v>10752.55</v>
      </c>
      <c r="AB231" s="50">
        <v>11982.74</v>
      </c>
      <c r="AC231" s="50">
        <v>10636.19</v>
      </c>
      <c r="AD231" s="53">
        <f t="shared" si="94"/>
        <v>123780.63</v>
      </c>
      <c r="AE231" s="50">
        <f t="shared" si="95"/>
        <v>0.3699999999953434</v>
      </c>
      <c r="AF231" s="616">
        <f t="shared" si="86"/>
        <v>99.99970108498073</v>
      </c>
    </row>
    <row r="232" spans="2:32" s="34" customFormat="1" ht="12.75">
      <c r="B232" s="40"/>
      <c r="C232" s="48"/>
      <c r="D232" s="48">
        <v>4040</v>
      </c>
      <c r="E232" s="49" t="s">
        <v>531</v>
      </c>
      <c r="F232" s="50">
        <v>9500</v>
      </c>
      <c r="G232" s="51"/>
      <c r="H232" s="51"/>
      <c r="I232" s="51"/>
      <c r="J232" s="72">
        <v>-1939</v>
      </c>
      <c r="K232" s="51"/>
      <c r="L232" s="51"/>
      <c r="M232" s="51"/>
      <c r="N232" s="51"/>
      <c r="O232" s="51"/>
      <c r="P232" s="51"/>
      <c r="Q232" s="52">
        <f t="shared" si="93"/>
        <v>7561</v>
      </c>
      <c r="R232" s="50"/>
      <c r="S232" s="50"/>
      <c r="T232" s="50">
        <v>4134.99</v>
      </c>
      <c r="U232" s="50">
        <v>2244.26</v>
      </c>
      <c r="V232" s="50"/>
      <c r="W232" s="50">
        <v>765.75</v>
      </c>
      <c r="X232" s="50">
        <v>415.41</v>
      </c>
      <c r="Y232" s="50"/>
      <c r="Z232" s="50"/>
      <c r="AA232" s="50"/>
      <c r="AB232" s="50"/>
      <c r="AC232" s="50"/>
      <c r="AD232" s="53">
        <f t="shared" si="94"/>
        <v>7560.41</v>
      </c>
      <c r="AE232" s="50">
        <f t="shared" si="95"/>
        <v>0.5900000000001455</v>
      </c>
      <c r="AF232" s="616">
        <f t="shared" si="86"/>
        <v>99.99219679936516</v>
      </c>
    </row>
    <row r="233" spans="2:32" s="34" customFormat="1" ht="12.75">
      <c r="B233" s="40"/>
      <c r="C233" s="48"/>
      <c r="D233" s="48">
        <v>4110</v>
      </c>
      <c r="E233" s="49" t="s">
        <v>525</v>
      </c>
      <c r="F233" s="50">
        <v>23300</v>
      </c>
      <c r="G233" s="51"/>
      <c r="H233" s="51"/>
      <c r="I233" s="51"/>
      <c r="J233" s="72">
        <v>-1500</v>
      </c>
      <c r="K233" s="51"/>
      <c r="L233" s="51"/>
      <c r="M233" s="51"/>
      <c r="N233" s="51"/>
      <c r="O233" s="72">
        <v>-1500</v>
      </c>
      <c r="P233" s="72">
        <v>355</v>
      </c>
      <c r="Q233" s="52">
        <f t="shared" si="93"/>
        <v>20655</v>
      </c>
      <c r="R233" s="50">
        <v>709.66</v>
      </c>
      <c r="S233" s="50">
        <v>209.63</v>
      </c>
      <c r="T233" s="50">
        <v>1833.14</v>
      </c>
      <c r="U233" s="50">
        <v>3017.3</v>
      </c>
      <c r="V233" s="50">
        <v>1737.78</v>
      </c>
      <c r="W233" s="50">
        <v>1971.87</v>
      </c>
      <c r="X233" s="50">
        <v>2015.81</v>
      </c>
      <c r="Y233" s="50">
        <v>1689.61</v>
      </c>
      <c r="Z233" s="50">
        <v>1689.61</v>
      </c>
      <c r="AA233" s="50">
        <v>1689.61</v>
      </c>
      <c r="AB233" s="50">
        <v>1949.71</v>
      </c>
      <c r="AC233" s="50">
        <v>2140.45</v>
      </c>
      <c r="AD233" s="53">
        <f t="shared" si="94"/>
        <v>20654.18</v>
      </c>
      <c r="AE233" s="50">
        <f t="shared" si="95"/>
        <v>0.819999999999709</v>
      </c>
      <c r="AF233" s="616">
        <f t="shared" si="86"/>
        <v>99.99603001694506</v>
      </c>
    </row>
    <row r="234" spans="2:32" s="34" customFormat="1" ht="12.75">
      <c r="B234" s="40"/>
      <c r="C234" s="48"/>
      <c r="D234" s="48">
        <v>4120</v>
      </c>
      <c r="E234" s="49" t="s">
        <v>532</v>
      </c>
      <c r="F234" s="50">
        <v>3200</v>
      </c>
      <c r="G234" s="51"/>
      <c r="H234" s="51"/>
      <c r="I234" s="51"/>
      <c r="J234" s="51"/>
      <c r="K234" s="51"/>
      <c r="L234" s="51"/>
      <c r="M234" s="51"/>
      <c r="N234" s="51"/>
      <c r="O234" s="51">
        <v>100</v>
      </c>
      <c r="P234" s="72">
        <v>-97</v>
      </c>
      <c r="Q234" s="52">
        <f t="shared" si="93"/>
        <v>3203</v>
      </c>
      <c r="R234" s="50">
        <v>199.42</v>
      </c>
      <c r="S234" s="50">
        <v>219.4</v>
      </c>
      <c r="T234" s="50">
        <v>254.34</v>
      </c>
      <c r="U234" s="50">
        <v>426.32</v>
      </c>
      <c r="V234" s="50">
        <v>245.53</v>
      </c>
      <c r="W234" s="50">
        <v>278.61</v>
      </c>
      <c r="X234" s="50">
        <v>284.82</v>
      </c>
      <c r="Y234" s="50">
        <v>238.72</v>
      </c>
      <c r="Z234" s="50">
        <v>238.73</v>
      </c>
      <c r="AA234" s="50">
        <v>238.73</v>
      </c>
      <c r="AB234" s="50">
        <v>275.48</v>
      </c>
      <c r="AC234" s="50">
        <v>302.43</v>
      </c>
      <c r="AD234" s="53">
        <f t="shared" si="94"/>
        <v>3202.5299999999997</v>
      </c>
      <c r="AE234" s="50">
        <f t="shared" si="95"/>
        <v>0.47000000000025466</v>
      </c>
      <c r="AF234" s="616">
        <f t="shared" si="86"/>
        <v>99.98532625663441</v>
      </c>
    </row>
    <row r="235" spans="2:32" s="34" customFormat="1" ht="12.75">
      <c r="B235" s="40"/>
      <c r="C235" s="48"/>
      <c r="D235" s="48">
        <v>4170</v>
      </c>
      <c r="E235" s="49" t="s">
        <v>533</v>
      </c>
      <c r="F235" s="50"/>
      <c r="G235" s="51"/>
      <c r="H235" s="51"/>
      <c r="I235" s="51"/>
      <c r="J235" s="51">
        <v>700</v>
      </c>
      <c r="K235" s="51"/>
      <c r="L235" s="51"/>
      <c r="M235" s="51"/>
      <c r="N235" s="51"/>
      <c r="O235" s="51"/>
      <c r="P235" s="51"/>
      <c r="Q235" s="52">
        <f t="shared" si="93"/>
        <v>700</v>
      </c>
      <c r="R235" s="50"/>
      <c r="S235" s="50"/>
      <c r="T235" s="50"/>
      <c r="U235" s="50"/>
      <c r="V235" s="50"/>
      <c r="W235" s="50">
        <v>489.42</v>
      </c>
      <c r="X235" s="50">
        <v>210.58</v>
      </c>
      <c r="Y235" s="50"/>
      <c r="Z235" s="50"/>
      <c r="AA235" s="50"/>
      <c r="AB235" s="50"/>
      <c r="AC235" s="50"/>
      <c r="AD235" s="53">
        <f t="shared" si="94"/>
        <v>700</v>
      </c>
      <c r="AE235" s="50">
        <f>Q235-AD235</f>
        <v>0</v>
      </c>
      <c r="AF235" s="616">
        <f>AD235*100/Q235</f>
        <v>100</v>
      </c>
    </row>
    <row r="236" spans="2:32" s="34" customFormat="1" ht="12.75">
      <c r="B236" s="40"/>
      <c r="C236" s="48"/>
      <c r="D236" s="48">
        <v>4210</v>
      </c>
      <c r="E236" s="49" t="s">
        <v>1201</v>
      </c>
      <c r="F236" s="50">
        <v>5000</v>
      </c>
      <c r="G236" s="51">
        <v>2500</v>
      </c>
      <c r="H236" s="51"/>
      <c r="I236" s="51"/>
      <c r="J236" s="72">
        <v>-5076</v>
      </c>
      <c r="K236" s="51"/>
      <c r="L236" s="51"/>
      <c r="M236" s="51">
        <v>2629</v>
      </c>
      <c r="N236" s="51"/>
      <c r="O236" s="51">
        <v>800</v>
      </c>
      <c r="P236" s="51">
        <v>733</v>
      </c>
      <c r="Q236" s="52">
        <f t="shared" si="93"/>
        <v>6586</v>
      </c>
      <c r="R236" s="50">
        <v>6573.7</v>
      </c>
      <c r="S236" s="50">
        <v>857.9</v>
      </c>
      <c r="T236" s="50">
        <v>15.58</v>
      </c>
      <c r="U236" s="50">
        <v>2366.52</v>
      </c>
      <c r="V236" s="50">
        <v>199.31</v>
      </c>
      <c r="W236" s="72">
        <v>-8918.14</v>
      </c>
      <c r="X236" s="50">
        <v>662.4</v>
      </c>
      <c r="Y236" s="50">
        <v>2380.04</v>
      </c>
      <c r="Z236" s="50">
        <v>442.71</v>
      </c>
      <c r="AA236" s="50">
        <v>948.54</v>
      </c>
      <c r="AB236" s="50">
        <v>1253.44</v>
      </c>
      <c r="AC236" s="72">
        <v>-196.25</v>
      </c>
      <c r="AD236" s="53">
        <f t="shared" si="94"/>
        <v>6585.75</v>
      </c>
      <c r="AE236" s="72">
        <f t="shared" si="95"/>
        <v>0.25</v>
      </c>
      <c r="AF236" s="616">
        <f t="shared" si="86"/>
        <v>99.99620406923778</v>
      </c>
    </row>
    <row r="237" spans="2:32" s="34" customFormat="1" ht="12.75">
      <c r="B237" s="40"/>
      <c r="C237" s="48"/>
      <c r="D237" s="48">
        <v>4270</v>
      </c>
      <c r="E237" s="49" t="s">
        <v>1202</v>
      </c>
      <c r="F237" s="50">
        <v>3500</v>
      </c>
      <c r="G237" s="72">
        <v>-500</v>
      </c>
      <c r="H237" s="51"/>
      <c r="I237" s="51"/>
      <c r="J237" s="72">
        <v>-800</v>
      </c>
      <c r="K237" s="51"/>
      <c r="L237" s="51"/>
      <c r="M237" s="51"/>
      <c r="N237" s="51"/>
      <c r="O237" s="51">
        <v>200</v>
      </c>
      <c r="P237" s="72">
        <v>-88</v>
      </c>
      <c r="Q237" s="52">
        <f t="shared" si="93"/>
        <v>2312</v>
      </c>
      <c r="R237" s="50">
        <v>1159</v>
      </c>
      <c r="S237" s="50"/>
      <c r="T237" s="50">
        <v>122</v>
      </c>
      <c r="U237" s="50">
        <v>488</v>
      </c>
      <c r="V237" s="50"/>
      <c r="W237" s="50"/>
      <c r="X237" s="50">
        <v>79.3</v>
      </c>
      <c r="Y237" s="50">
        <v>97.6</v>
      </c>
      <c r="Z237" s="50">
        <v>244</v>
      </c>
      <c r="AA237" s="50">
        <v>122</v>
      </c>
      <c r="AB237" s="50"/>
      <c r="AC237" s="50"/>
      <c r="AD237" s="53">
        <f t="shared" si="94"/>
        <v>2311.8999999999996</v>
      </c>
      <c r="AE237" s="50">
        <f t="shared" si="95"/>
        <v>0.1000000000003638</v>
      </c>
      <c r="AF237" s="616">
        <f t="shared" si="86"/>
        <v>99.99567474048442</v>
      </c>
    </row>
    <row r="238" spans="2:32" s="34" customFormat="1" ht="12.75" customHeight="1">
      <c r="B238" s="40"/>
      <c r="C238" s="48"/>
      <c r="D238" s="48">
        <v>4280</v>
      </c>
      <c r="E238" s="49" t="s">
        <v>534</v>
      </c>
      <c r="F238" s="50">
        <v>300</v>
      </c>
      <c r="G238" s="51"/>
      <c r="H238" s="51"/>
      <c r="I238" s="51"/>
      <c r="J238" s="51"/>
      <c r="K238" s="51"/>
      <c r="L238" s="51"/>
      <c r="M238" s="72">
        <v>-200</v>
      </c>
      <c r="N238" s="72"/>
      <c r="O238" s="51"/>
      <c r="P238" s="72">
        <v>-100</v>
      </c>
      <c r="Q238" s="52">
        <f t="shared" si="93"/>
        <v>0</v>
      </c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3">
        <f>SUM(R238:AC238)</f>
        <v>0</v>
      </c>
      <c r="AE238" s="50">
        <f>Q238-AD238</f>
        <v>0</v>
      </c>
      <c r="AF238" s="616"/>
    </row>
    <row r="239" spans="2:32" s="34" customFormat="1" ht="15" customHeight="1">
      <c r="B239" s="40"/>
      <c r="C239" s="48"/>
      <c r="D239" s="48">
        <v>4300</v>
      </c>
      <c r="E239" s="49" t="s">
        <v>1203</v>
      </c>
      <c r="F239" s="50">
        <v>7000</v>
      </c>
      <c r="G239" s="51"/>
      <c r="H239" s="51"/>
      <c r="I239" s="51"/>
      <c r="J239" s="51">
        <v>1800</v>
      </c>
      <c r="K239" s="51">
        <v>204</v>
      </c>
      <c r="L239" s="51"/>
      <c r="M239" s="51">
        <v>3000</v>
      </c>
      <c r="N239" s="51"/>
      <c r="O239" s="51">
        <v>2000</v>
      </c>
      <c r="P239" s="72">
        <v>-1022</v>
      </c>
      <c r="Q239" s="52">
        <f t="shared" si="93"/>
        <v>12982</v>
      </c>
      <c r="R239" s="50">
        <v>617.4</v>
      </c>
      <c r="S239" s="50">
        <v>561.21</v>
      </c>
      <c r="T239" s="50">
        <v>3384.59</v>
      </c>
      <c r="U239" s="50">
        <v>1097.93</v>
      </c>
      <c r="V239" s="50">
        <v>1120.52</v>
      </c>
      <c r="W239" s="50">
        <v>871.6</v>
      </c>
      <c r="X239" s="50">
        <v>384.17</v>
      </c>
      <c r="Y239" s="50">
        <v>767.22</v>
      </c>
      <c r="Z239" s="50">
        <v>997.73</v>
      </c>
      <c r="AA239" s="50">
        <v>509.89</v>
      </c>
      <c r="AB239" s="50">
        <v>2707.16</v>
      </c>
      <c r="AC239" s="72">
        <v>-37.92</v>
      </c>
      <c r="AD239" s="53">
        <f t="shared" si="94"/>
        <v>12981.5</v>
      </c>
      <c r="AE239" s="72">
        <f t="shared" si="95"/>
        <v>0.5</v>
      </c>
      <c r="AF239" s="616">
        <f t="shared" si="86"/>
        <v>99.99614851332615</v>
      </c>
    </row>
    <row r="240" spans="2:32" s="34" customFormat="1" ht="12.75">
      <c r="B240" s="40"/>
      <c r="C240" s="48"/>
      <c r="D240" s="48">
        <v>4410</v>
      </c>
      <c r="E240" s="49" t="s">
        <v>528</v>
      </c>
      <c r="F240" s="50">
        <v>400</v>
      </c>
      <c r="G240" s="51"/>
      <c r="H240" s="51"/>
      <c r="I240" s="51"/>
      <c r="J240" s="72">
        <v>-200</v>
      </c>
      <c r="K240" s="51"/>
      <c r="L240" s="51"/>
      <c r="M240" s="51"/>
      <c r="N240" s="51"/>
      <c r="O240" s="51"/>
      <c r="P240" s="72">
        <v>-71</v>
      </c>
      <c r="Q240" s="52">
        <f t="shared" si="93"/>
        <v>129</v>
      </c>
      <c r="R240" s="50"/>
      <c r="S240" s="50"/>
      <c r="T240" s="50">
        <v>14.6</v>
      </c>
      <c r="U240" s="50"/>
      <c r="V240" s="50">
        <v>18.83</v>
      </c>
      <c r="W240" s="50">
        <v>18.83</v>
      </c>
      <c r="X240" s="50"/>
      <c r="Y240" s="50">
        <v>18.83</v>
      </c>
      <c r="Z240" s="50"/>
      <c r="AA240" s="50">
        <v>18.83</v>
      </c>
      <c r="AB240" s="50">
        <v>18.83</v>
      </c>
      <c r="AC240" s="50">
        <v>20.05</v>
      </c>
      <c r="AD240" s="53">
        <f t="shared" si="94"/>
        <v>128.8</v>
      </c>
      <c r="AE240" s="50">
        <f t="shared" si="95"/>
        <v>0.19999999999998863</v>
      </c>
      <c r="AF240" s="616">
        <f t="shared" si="86"/>
        <v>99.8449612403101</v>
      </c>
    </row>
    <row r="241" spans="2:32" s="34" customFormat="1" ht="15" customHeight="1">
      <c r="B241" s="40"/>
      <c r="C241" s="48"/>
      <c r="D241" s="48">
        <v>4440</v>
      </c>
      <c r="E241" s="49" t="s">
        <v>538</v>
      </c>
      <c r="F241" s="50">
        <v>3150</v>
      </c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2">
        <f t="shared" si="93"/>
        <v>3150</v>
      </c>
      <c r="R241" s="50"/>
      <c r="S241" s="50"/>
      <c r="T241" s="50">
        <v>2362.5</v>
      </c>
      <c r="U241" s="50"/>
      <c r="V241" s="50"/>
      <c r="W241" s="50"/>
      <c r="X241" s="50"/>
      <c r="Y241" s="50"/>
      <c r="Z241" s="50">
        <v>787.5</v>
      </c>
      <c r="AA241" s="50"/>
      <c r="AB241" s="50"/>
      <c r="AC241" s="50"/>
      <c r="AD241" s="53">
        <f t="shared" si="94"/>
        <v>3150</v>
      </c>
      <c r="AE241" s="50">
        <f t="shared" si="95"/>
        <v>0</v>
      </c>
      <c r="AF241" s="616">
        <f t="shared" si="86"/>
        <v>100</v>
      </c>
    </row>
    <row r="242" spans="2:32" s="34" customFormat="1" ht="25.5">
      <c r="B242" s="40"/>
      <c r="C242" s="48"/>
      <c r="D242" s="48">
        <v>4740</v>
      </c>
      <c r="E242" s="49" t="s">
        <v>497</v>
      </c>
      <c r="F242" s="50">
        <v>5000</v>
      </c>
      <c r="G242" s="72">
        <v>-2000</v>
      </c>
      <c r="H242" s="51"/>
      <c r="I242" s="51"/>
      <c r="J242" s="72">
        <v>-2500</v>
      </c>
      <c r="K242" s="72">
        <v>-200</v>
      </c>
      <c r="L242" s="51"/>
      <c r="M242" s="51"/>
      <c r="N242" s="51"/>
      <c r="O242" s="51"/>
      <c r="P242" s="72">
        <v>-45</v>
      </c>
      <c r="Q242" s="52">
        <f t="shared" si="93"/>
        <v>255</v>
      </c>
      <c r="R242" s="50"/>
      <c r="S242" s="50">
        <v>18.99</v>
      </c>
      <c r="T242" s="50">
        <v>82.92</v>
      </c>
      <c r="U242" s="50">
        <v>51.85</v>
      </c>
      <c r="V242" s="50">
        <v>50.4</v>
      </c>
      <c r="W242" s="50"/>
      <c r="X242" s="50"/>
      <c r="Y242" s="50"/>
      <c r="Z242" s="50">
        <v>50.63</v>
      </c>
      <c r="AA242" s="50"/>
      <c r="AB242" s="50"/>
      <c r="AC242" s="50"/>
      <c r="AD242" s="53">
        <f>SUM(R242:AC242)</f>
        <v>254.79</v>
      </c>
      <c r="AE242" s="50">
        <f>Q242-AD242</f>
        <v>0.21000000000000796</v>
      </c>
      <c r="AF242" s="616">
        <f>AD242*100/Q242</f>
        <v>99.91764705882353</v>
      </c>
    </row>
    <row r="243" spans="2:32" s="34" customFormat="1" ht="25.5">
      <c r="B243" s="40"/>
      <c r="C243" s="48"/>
      <c r="D243" s="48">
        <v>6060</v>
      </c>
      <c r="E243" s="49" t="s">
        <v>396</v>
      </c>
      <c r="F243" s="50"/>
      <c r="G243" s="72"/>
      <c r="H243" s="51"/>
      <c r="I243" s="51"/>
      <c r="J243" s="51">
        <v>8015</v>
      </c>
      <c r="K243" s="72">
        <v>-4</v>
      </c>
      <c r="L243" s="51"/>
      <c r="M243" s="51"/>
      <c r="N243" s="51"/>
      <c r="O243" s="51"/>
      <c r="P243" s="51"/>
      <c r="Q243" s="52">
        <f t="shared" si="93"/>
        <v>8011</v>
      </c>
      <c r="R243" s="50"/>
      <c r="S243" s="50"/>
      <c r="T243" s="50"/>
      <c r="U243" s="50"/>
      <c r="V243" s="50"/>
      <c r="W243" s="50">
        <v>8010.52</v>
      </c>
      <c r="X243" s="50"/>
      <c r="Y243" s="50"/>
      <c r="Z243" s="50"/>
      <c r="AA243" s="50"/>
      <c r="AB243" s="50"/>
      <c r="AC243" s="50"/>
      <c r="AD243" s="53">
        <f>SUM(R243:AC243)</f>
        <v>8010.52</v>
      </c>
      <c r="AE243" s="50">
        <f>Q243-AD243</f>
        <v>0.47999999999956344</v>
      </c>
      <c r="AF243" s="616">
        <f>AD243*100/Q243</f>
        <v>99.99400823867182</v>
      </c>
    </row>
    <row r="244" spans="2:32" s="34" customFormat="1" ht="12.75">
      <c r="B244" s="40"/>
      <c r="C244" s="42">
        <v>80146</v>
      </c>
      <c r="D244" s="42"/>
      <c r="E244" s="43" t="s">
        <v>572</v>
      </c>
      <c r="F244" s="44">
        <f>F245</f>
        <v>23800</v>
      </c>
      <c r="G244" s="45">
        <f aca="true" t="shared" si="96" ref="G244:O244">G245</f>
        <v>0</v>
      </c>
      <c r="H244" s="45">
        <f t="shared" si="96"/>
        <v>0</v>
      </c>
      <c r="I244" s="45">
        <f t="shared" si="96"/>
        <v>0</v>
      </c>
      <c r="J244" s="45">
        <f t="shared" si="96"/>
        <v>0</v>
      </c>
      <c r="K244" s="45">
        <f t="shared" si="96"/>
        <v>0</v>
      </c>
      <c r="L244" s="45">
        <f t="shared" si="96"/>
        <v>0</v>
      </c>
      <c r="M244" s="45">
        <f t="shared" si="96"/>
        <v>0</v>
      </c>
      <c r="N244" s="45">
        <f t="shared" si="96"/>
        <v>0</v>
      </c>
      <c r="O244" s="45">
        <f t="shared" si="96"/>
        <v>0</v>
      </c>
      <c r="P244" s="45">
        <f>P245+P246</f>
        <v>0</v>
      </c>
      <c r="Q244" s="46">
        <f>Q245+Q246</f>
        <v>23800</v>
      </c>
      <c r="R244" s="44">
        <f>R245</f>
        <v>1475</v>
      </c>
      <c r="S244" s="44">
        <f aca="true" t="shared" si="97" ref="S244:AB244">S245</f>
        <v>2870</v>
      </c>
      <c r="T244" s="44">
        <f t="shared" si="97"/>
        <v>950</v>
      </c>
      <c r="U244" s="44">
        <f t="shared" si="97"/>
        <v>1812</v>
      </c>
      <c r="V244" s="44">
        <f t="shared" si="97"/>
        <v>1474.5</v>
      </c>
      <c r="W244" s="44">
        <f t="shared" si="97"/>
        <v>575</v>
      </c>
      <c r="X244" s="44">
        <f t="shared" si="97"/>
        <v>925</v>
      </c>
      <c r="Y244" s="44">
        <f t="shared" si="97"/>
        <v>0</v>
      </c>
      <c r="Z244" s="44">
        <f t="shared" si="97"/>
        <v>2877</v>
      </c>
      <c r="AA244" s="44">
        <f t="shared" si="97"/>
        <v>24</v>
      </c>
      <c r="AB244" s="44">
        <f t="shared" si="97"/>
        <v>250</v>
      </c>
      <c r="AC244" s="44">
        <f>AC245+AC246</f>
        <v>3153.6</v>
      </c>
      <c r="AD244" s="44">
        <f>AD245+AD246</f>
        <v>16386.1</v>
      </c>
      <c r="AE244" s="44">
        <f>AE245+AE246</f>
        <v>7413.9</v>
      </c>
      <c r="AF244" s="615">
        <f t="shared" si="86"/>
        <v>68.84915966386554</v>
      </c>
    </row>
    <row r="245" spans="2:32" s="34" customFormat="1" ht="12.75">
      <c r="B245" s="40"/>
      <c r="C245" s="48"/>
      <c r="D245" s="48">
        <v>4300</v>
      </c>
      <c r="E245" s="49" t="s">
        <v>1203</v>
      </c>
      <c r="F245" s="50">
        <v>23800</v>
      </c>
      <c r="G245" s="51"/>
      <c r="H245" s="51"/>
      <c r="I245" s="51"/>
      <c r="J245" s="51"/>
      <c r="K245" s="51"/>
      <c r="L245" s="51"/>
      <c r="M245" s="51"/>
      <c r="N245" s="51"/>
      <c r="O245" s="51"/>
      <c r="P245" s="72">
        <v>-1329</v>
      </c>
      <c r="Q245" s="52">
        <f>F245+G245+H245+I245+J245+K245+L245+M245+N245+O245+P245</f>
        <v>22471</v>
      </c>
      <c r="R245" s="50">
        <v>1475</v>
      </c>
      <c r="S245" s="50">
        <v>2870</v>
      </c>
      <c r="T245" s="50">
        <v>950</v>
      </c>
      <c r="U245" s="50">
        <v>1812</v>
      </c>
      <c r="V245" s="50">
        <v>1474.5</v>
      </c>
      <c r="W245" s="50">
        <v>575</v>
      </c>
      <c r="X245" s="50">
        <v>925</v>
      </c>
      <c r="Y245" s="50"/>
      <c r="Z245" s="50">
        <v>2877</v>
      </c>
      <c r="AA245" s="50">
        <v>24</v>
      </c>
      <c r="AB245" s="50">
        <v>250</v>
      </c>
      <c r="AC245" s="50">
        <v>1825</v>
      </c>
      <c r="AD245" s="53">
        <f>SUM(R245:AC245)</f>
        <v>15057.5</v>
      </c>
      <c r="AE245" s="50">
        <f>Q245-AD245</f>
        <v>7413.5</v>
      </c>
      <c r="AF245" s="616">
        <f t="shared" si="86"/>
        <v>67.00858884784834</v>
      </c>
    </row>
    <row r="246" spans="2:32" s="34" customFormat="1" ht="12.75">
      <c r="B246" s="40"/>
      <c r="C246" s="48"/>
      <c r="D246" s="48">
        <v>4410</v>
      </c>
      <c r="E246" s="49" t="s">
        <v>528</v>
      </c>
      <c r="F246" s="50"/>
      <c r="G246" s="51"/>
      <c r="H246" s="51"/>
      <c r="I246" s="51"/>
      <c r="J246" s="51"/>
      <c r="K246" s="51"/>
      <c r="L246" s="51"/>
      <c r="M246" s="51"/>
      <c r="N246" s="51"/>
      <c r="O246" s="51"/>
      <c r="P246" s="51">
        <v>1329</v>
      </c>
      <c r="Q246" s="52">
        <f>F246+G246+H246+I246+J246+K246+L246+M246+N246+O246+P246</f>
        <v>1329</v>
      </c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>
        <v>1328.6</v>
      </c>
      <c r="AD246" s="53">
        <f>SUM(R246:AC246)</f>
        <v>1328.6</v>
      </c>
      <c r="AE246" s="50">
        <f>Q246-AD246</f>
        <v>0.40000000000009095</v>
      </c>
      <c r="AF246" s="616">
        <f t="shared" si="86"/>
        <v>99.9699021820918</v>
      </c>
    </row>
    <row r="247" spans="2:32" s="34" customFormat="1" ht="12.75">
      <c r="B247" s="40"/>
      <c r="C247" s="42">
        <v>80195</v>
      </c>
      <c r="D247" s="42"/>
      <c r="E247" s="43" t="s">
        <v>99</v>
      </c>
      <c r="F247" s="44">
        <f>SUM(F248:F251)</f>
        <v>41515</v>
      </c>
      <c r="G247" s="45">
        <f aca="true" t="shared" si="98" ref="G247:AB247">SUM(G248:G251)</f>
        <v>0</v>
      </c>
      <c r="H247" s="45">
        <f t="shared" si="98"/>
        <v>0</v>
      </c>
      <c r="I247" s="45">
        <f t="shared" si="98"/>
        <v>0</v>
      </c>
      <c r="J247" s="45">
        <f t="shared" si="98"/>
        <v>0</v>
      </c>
      <c r="K247" s="45">
        <f t="shared" si="98"/>
        <v>14067</v>
      </c>
      <c r="L247" s="45">
        <f t="shared" si="98"/>
        <v>0</v>
      </c>
      <c r="M247" s="45">
        <f t="shared" si="98"/>
        <v>0</v>
      </c>
      <c r="N247" s="45">
        <f t="shared" si="98"/>
        <v>14067</v>
      </c>
      <c r="O247" s="45">
        <f t="shared" si="98"/>
        <v>8212</v>
      </c>
      <c r="P247" s="45">
        <f t="shared" si="98"/>
        <v>22630</v>
      </c>
      <c r="Q247" s="46">
        <f t="shared" si="98"/>
        <v>100491</v>
      </c>
      <c r="R247" s="44">
        <f t="shared" si="98"/>
        <v>0</v>
      </c>
      <c r="S247" s="44">
        <f t="shared" si="98"/>
        <v>0</v>
      </c>
      <c r="T247" s="44">
        <f t="shared" si="98"/>
        <v>30386.25</v>
      </c>
      <c r="U247" s="44">
        <f t="shared" si="98"/>
        <v>0</v>
      </c>
      <c r="V247" s="44">
        <f t="shared" si="98"/>
        <v>0</v>
      </c>
      <c r="W247" s="44">
        <f t="shared" si="98"/>
        <v>0</v>
      </c>
      <c r="X247" s="44">
        <f t="shared" si="98"/>
        <v>340</v>
      </c>
      <c r="Y247" s="44">
        <f t="shared" si="98"/>
        <v>2025.72</v>
      </c>
      <c r="Z247" s="44">
        <f t="shared" si="98"/>
        <v>10158.75</v>
      </c>
      <c r="AA247" s="44">
        <f t="shared" si="98"/>
        <v>0</v>
      </c>
      <c r="AB247" s="44">
        <f t="shared" si="98"/>
        <v>28088.44</v>
      </c>
      <c r="AC247" s="44">
        <f>SUM(AC248:AC251)</f>
        <v>29491.84</v>
      </c>
      <c r="AD247" s="44">
        <f>SUM(AD248:AD251)</f>
        <v>100491</v>
      </c>
      <c r="AE247" s="44">
        <f>SUM(AE248:AE251)</f>
        <v>0</v>
      </c>
      <c r="AF247" s="615">
        <f t="shared" si="86"/>
        <v>100</v>
      </c>
    </row>
    <row r="248" spans="2:32" s="34" customFormat="1" ht="14.25" customHeight="1">
      <c r="B248" s="617"/>
      <c r="C248" s="48"/>
      <c r="D248" s="48">
        <v>4170</v>
      </c>
      <c r="E248" s="49" t="s">
        <v>533</v>
      </c>
      <c r="F248" s="50">
        <v>1000</v>
      </c>
      <c r="G248" s="51"/>
      <c r="H248" s="51"/>
      <c r="I248" s="51"/>
      <c r="J248" s="51"/>
      <c r="K248" s="51"/>
      <c r="L248" s="51"/>
      <c r="M248" s="51"/>
      <c r="N248" s="51"/>
      <c r="O248" s="51">
        <v>360</v>
      </c>
      <c r="P248" s="72">
        <v>-760</v>
      </c>
      <c r="Q248" s="52">
        <f>F248+G248+H248+I248+J248+K248+L248+M248+N248+O248+P248</f>
        <v>600</v>
      </c>
      <c r="R248" s="50"/>
      <c r="S248" s="50"/>
      <c r="T248" s="50"/>
      <c r="U248" s="50"/>
      <c r="V248" s="50"/>
      <c r="W248" s="50"/>
      <c r="X248" s="50">
        <v>340</v>
      </c>
      <c r="Y248" s="50">
        <v>230</v>
      </c>
      <c r="Z248" s="50">
        <v>30</v>
      </c>
      <c r="AA248" s="50"/>
      <c r="AB248" s="50"/>
      <c r="AC248" s="50"/>
      <c r="AD248" s="53">
        <f>SUM(R248:AC248)</f>
        <v>600</v>
      </c>
      <c r="AE248" s="50">
        <f>Q248-AD248</f>
        <v>0</v>
      </c>
      <c r="AF248" s="616">
        <f t="shared" si="86"/>
        <v>100</v>
      </c>
    </row>
    <row r="249" spans="2:32" s="34" customFormat="1" ht="12.75">
      <c r="B249" s="617"/>
      <c r="C249" s="48"/>
      <c r="D249" s="48">
        <v>4240</v>
      </c>
      <c r="E249" s="49" t="s">
        <v>584</v>
      </c>
      <c r="F249" s="50"/>
      <c r="G249" s="51"/>
      <c r="H249" s="51"/>
      <c r="I249" s="51"/>
      <c r="J249" s="51"/>
      <c r="K249" s="51"/>
      <c r="L249" s="51"/>
      <c r="M249" s="51"/>
      <c r="N249" s="51"/>
      <c r="O249" s="51">
        <v>2230</v>
      </c>
      <c r="P249" s="51"/>
      <c r="Q249" s="52">
        <f>F249+G249+H249+I249+J249+K249+L249+M249+N249+O249+P249</f>
        <v>2230</v>
      </c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>
        <v>2230</v>
      </c>
      <c r="AC249" s="50"/>
      <c r="AD249" s="53">
        <f>SUM(R249:AC249)</f>
        <v>2230</v>
      </c>
      <c r="AE249" s="50">
        <f>Q249-AD249</f>
        <v>0</v>
      </c>
      <c r="AF249" s="616">
        <f t="shared" si="86"/>
        <v>100</v>
      </c>
    </row>
    <row r="250" spans="2:32" s="34" customFormat="1" ht="14.25" customHeight="1">
      <c r="B250" s="617"/>
      <c r="C250" s="48"/>
      <c r="D250" s="48">
        <v>4300</v>
      </c>
      <c r="E250" s="49" t="s">
        <v>1203</v>
      </c>
      <c r="F250" s="50"/>
      <c r="G250" s="51"/>
      <c r="H250" s="51"/>
      <c r="I250" s="51"/>
      <c r="J250" s="51"/>
      <c r="K250" s="51">
        <v>14067</v>
      </c>
      <c r="L250" s="51"/>
      <c r="M250" s="51"/>
      <c r="N250" s="51">
        <v>14067</v>
      </c>
      <c r="O250" s="51">
        <v>5622</v>
      </c>
      <c r="P250" s="51">
        <v>23390</v>
      </c>
      <c r="Q250" s="52">
        <f>F250+G250+H250+I250+J250+K250+L250+M250+N250+O250+P250</f>
        <v>57146</v>
      </c>
      <c r="R250" s="50"/>
      <c r="S250" s="50"/>
      <c r="T250" s="50"/>
      <c r="U250" s="50"/>
      <c r="V250" s="50"/>
      <c r="W250" s="50"/>
      <c r="X250" s="50"/>
      <c r="Y250" s="50">
        <v>1795.72</v>
      </c>
      <c r="Z250" s="50"/>
      <c r="AA250" s="50"/>
      <c r="AB250" s="50">
        <v>25858.44</v>
      </c>
      <c r="AC250" s="50">
        <v>29491.84</v>
      </c>
      <c r="AD250" s="53">
        <f>SUM(R250:AC250)</f>
        <v>57146</v>
      </c>
      <c r="AE250" s="50">
        <f>Q250-AD250</f>
        <v>0</v>
      </c>
      <c r="AF250" s="616">
        <f t="shared" si="86"/>
        <v>100</v>
      </c>
    </row>
    <row r="251" spans="2:32" s="34" customFormat="1" ht="20.25" customHeight="1">
      <c r="B251" s="40"/>
      <c r="C251" s="48"/>
      <c r="D251" s="48">
        <v>4440</v>
      </c>
      <c r="E251" s="49" t="s">
        <v>538</v>
      </c>
      <c r="F251" s="50">
        <v>40515</v>
      </c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2">
        <f>F251+G251+H251+I251+J251+K251+L251+M251+N251+O251+P251</f>
        <v>40515</v>
      </c>
      <c r="R251" s="50"/>
      <c r="S251" s="50"/>
      <c r="T251" s="50">
        <v>30386.25</v>
      </c>
      <c r="U251" s="50"/>
      <c r="V251" s="50"/>
      <c r="W251" s="50"/>
      <c r="X251" s="50"/>
      <c r="Y251" s="50"/>
      <c r="Z251" s="50">
        <v>10128.75</v>
      </c>
      <c r="AA251" s="50"/>
      <c r="AB251" s="50"/>
      <c r="AC251" s="50"/>
      <c r="AD251" s="53">
        <f>SUM(R251:AC251)</f>
        <v>40515</v>
      </c>
      <c r="AE251" s="50">
        <f>Q251-AD251</f>
        <v>0</v>
      </c>
      <c r="AF251" s="616">
        <f t="shared" si="86"/>
        <v>100</v>
      </c>
    </row>
    <row r="252" spans="2:32" s="34" customFormat="1" ht="12.75">
      <c r="B252" s="60">
        <v>851</v>
      </c>
      <c r="C252" s="78"/>
      <c r="D252" s="78"/>
      <c r="E252" s="62" t="s">
        <v>573</v>
      </c>
      <c r="F252" s="58">
        <f>F253+F265</f>
        <v>160000</v>
      </c>
      <c r="G252" s="59">
        <f aca="true" t="shared" si="99" ref="G252:AB252">G253+G265</f>
        <v>45024</v>
      </c>
      <c r="H252" s="59">
        <f t="shared" si="99"/>
        <v>0</v>
      </c>
      <c r="I252" s="59">
        <f t="shared" si="99"/>
        <v>0</v>
      </c>
      <c r="J252" s="59">
        <f t="shared" si="99"/>
        <v>0</v>
      </c>
      <c r="K252" s="59">
        <f t="shared" si="99"/>
        <v>0</v>
      </c>
      <c r="L252" s="59">
        <f t="shared" si="99"/>
        <v>0</v>
      </c>
      <c r="M252" s="59">
        <f t="shared" si="99"/>
        <v>0</v>
      </c>
      <c r="N252" s="59">
        <f t="shared" si="99"/>
        <v>0</v>
      </c>
      <c r="O252" s="59">
        <f t="shared" si="99"/>
        <v>0</v>
      </c>
      <c r="P252" s="59">
        <f t="shared" si="99"/>
        <v>0</v>
      </c>
      <c r="Q252" s="58">
        <f t="shared" si="99"/>
        <v>205024</v>
      </c>
      <c r="R252" s="58">
        <f t="shared" si="99"/>
        <v>4363.139999999999</v>
      </c>
      <c r="S252" s="58">
        <f t="shared" si="99"/>
        <v>16116.7</v>
      </c>
      <c r="T252" s="58">
        <f t="shared" si="99"/>
        <v>7258.74</v>
      </c>
      <c r="U252" s="58">
        <f t="shared" si="99"/>
        <v>6130.77</v>
      </c>
      <c r="V252" s="58">
        <f t="shared" si="99"/>
        <v>11059.439999999999</v>
      </c>
      <c r="W252" s="58">
        <f t="shared" si="99"/>
        <v>14192.679999999998</v>
      </c>
      <c r="X252" s="58">
        <f t="shared" si="99"/>
        <v>3771.9600000000005</v>
      </c>
      <c r="Y252" s="58">
        <f t="shared" si="99"/>
        <v>1642.3400000000001</v>
      </c>
      <c r="Z252" s="58">
        <f t="shared" si="99"/>
        <v>27474.899999999998</v>
      </c>
      <c r="AA252" s="58">
        <f t="shared" si="99"/>
        <v>5281.46</v>
      </c>
      <c r="AB252" s="58">
        <f t="shared" si="99"/>
        <v>2000.1200000000001</v>
      </c>
      <c r="AC252" s="58">
        <f>AC253+AC265</f>
        <v>58971.05</v>
      </c>
      <c r="AD252" s="58">
        <f>AD253+AD265</f>
        <v>158263.3</v>
      </c>
      <c r="AE252" s="58">
        <f>AE253+AE265</f>
        <v>46760.7</v>
      </c>
      <c r="AF252" s="614">
        <f t="shared" si="86"/>
        <v>77.19257257686904</v>
      </c>
    </row>
    <row r="253" spans="2:32" s="34" customFormat="1" ht="12.75">
      <c r="B253" s="40"/>
      <c r="C253" s="42">
        <v>85154</v>
      </c>
      <c r="D253" s="42"/>
      <c r="E253" s="43" t="s">
        <v>574</v>
      </c>
      <c r="F253" s="44">
        <f>SUM(F254:F263)</f>
        <v>90000</v>
      </c>
      <c r="G253" s="45">
        <f aca="true" t="shared" si="100" ref="G253:L253">SUM(G254:G263)</f>
        <v>45024</v>
      </c>
      <c r="H253" s="45">
        <f t="shared" si="100"/>
        <v>0</v>
      </c>
      <c r="I253" s="45">
        <f>SUM(I254:I264)</f>
        <v>0</v>
      </c>
      <c r="J253" s="45">
        <f t="shared" si="100"/>
        <v>0</v>
      </c>
      <c r="K253" s="45">
        <f t="shared" si="100"/>
        <v>0</v>
      </c>
      <c r="L253" s="45">
        <f t="shared" si="100"/>
        <v>0</v>
      </c>
      <c r="M253" s="45">
        <f>SUM(M254:M263)</f>
        <v>0</v>
      </c>
      <c r="N253" s="45">
        <f>SUM(N254:N263)</f>
        <v>0</v>
      </c>
      <c r="O253" s="45">
        <f>SUM(O254:O264)</f>
        <v>0</v>
      </c>
      <c r="P253" s="45">
        <f>SUM(P254:P264)</f>
        <v>0</v>
      </c>
      <c r="Q253" s="46">
        <f>SUM(Q254:Q264)</f>
        <v>135024</v>
      </c>
      <c r="R253" s="44">
        <f>SUM(R254:R263)</f>
        <v>4363.139999999999</v>
      </c>
      <c r="S253" s="44">
        <f aca="true" t="shared" si="101" ref="S253:AB253">SUM(S254:S263)</f>
        <v>16116.7</v>
      </c>
      <c r="T253" s="44">
        <f>SUM(T254:T263)</f>
        <v>7258.74</v>
      </c>
      <c r="U253" s="44">
        <f t="shared" si="101"/>
        <v>6130.77</v>
      </c>
      <c r="V253" s="44">
        <f t="shared" si="101"/>
        <v>11059.439999999999</v>
      </c>
      <c r="W253" s="44">
        <f t="shared" si="101"/>
        <v>14192.679999999998</v>
      </c>
      <c r="X253" s="44">
        <f t="shared" si="101"/>
        <v>3771.9600000000005</v>
      </c>
      <c r="Y253" s="44">
        <f t="shared" si="101"/>
        <v>1642.3400000000001</v>
      </c>
      <c r="Z253" s="44">
        <f t="shared" si="101"/>
        <v>9517.48</v>
      </c>
      <c r="AA253" s="44">
        <f>SUM(AA254:AA264)</f>
        <v>5281.46</v>
      </c>
      <c r="AB253" s="44">
        <f t="shared" si="101"/>
        <v>2000.1200000000001</v>
      </c>
      <c r="AC253" s="44">
        <f>SUM(AC254:AC264)</f>
        <v>7809.05</v>
      </c>
      <c r="AD253" s="44">
        <f>SUM(AD254:AD264)</f>
        <v>89143.88</v>
      </c>
      <c r="AE253" s="44">
        <f>SUM(AE254:AE264)</f>
        <v>45880.119999999995</v>
      </c>
      <c r="AF253" s="615">
        <f t="shared" si="86"/>
        <v>66.02076667851641</v>
      </c>
    </row>
    <row r="254" spans="2:32" s="34" customFormat="1" ht="38.25">
      <c r="B254" s="40"/>
      <c r="C254" s="42"/>
      <c r="D254" s="48">
        <v>2820</v>
      </c>
      <c r="E254" s="49" t="s">
        <v>575</v>
      </c>
      <c r="F254" s="50">
        <v>8000</v>
      </c>
      <c r="G254" s="51">
        <v>5000</v>
      </c>
      <c r="H254" s="51"/>
      <c r="I254" s="51"/>
      <c r="J254" s="51"/>
      <c r="K254" s="51"/>
      <c r="L254" s="51"/>
      <c r="M254" s="51"/>
      <c r="N254" s="51"/>
      <c r="O254" s="51"/>
      <c r="P254" s="51"/>
      <c r="Q254" s="52">
        <f aca="true" t="shared" si="102" ref="Q254:Q264">F254+G254+H254+I254+J254+K254+L254+M254+N254+O254+P254</f>
        <v>13000</v>
      </c>
      <c r="R254" s="50"/>
      <c r="S254" s="50"/>
      <c r="T254" s="50"/>
      <c r="U254" s="50"/>
      <c r="V254" s="50">
        <v>3000</v>
      </c>
      <c r="W254" s="50"/>
      <c r="X254" s="50"/>
      <c r="Y254" s="50"/>
      <c r="Z254" s="50"/>
      <c r="AA254" s="50">
        <v>3000</v>
      </c>
      <c r="AB254" s="50"/>
      <c r="AC254" s="72">
        <v>-1392.87</v>
      </c>
      <c r="AD254" s="53">
        <f aca="true" t="shared" si="103" ref="AD254:AD264">SUM(R254:AC254)</f>
        <v>4607.13</v>
      </c>
      <c r="AE254" s="50">
        <f aca="true" t="shared" si="104" ref="AE254:AE264">Q254-AD254</f>
        <v>8392.869999999999</v>
      </c>
      <c r="AF254" s="616">
        <f t="shared" si="86"/>
        <v>35.439461538461536</v>
      </c>
    </row>
    <row r="255" spans="2:32" s="34" customFormat="1" ht="12.75" customHeight="1">
      <c r="B255" s="40"/>
      <c r="C255" s="42"/>
      <c r="D255" s="48">
        <v>4170</v>
      </c>
      <c r="E255" s="49" t="s">
        <v>533</v>
      </c>
      <c r="F255" s="50">
        <v>18000</v>
      </c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2">
        <f t="shared" si="102"/>
        <v>18000</v>
      </c>
      <c r="R255" s="50">
        <v>984.63</v>
      </c>
      <c r="S255" s="50">
        <v>1659.6</v>
      </c>
      <c r="T255" s="50">
        <v>1810</v>
      </c>
      <c r="U255" s="50">
        <v>1810</v>
      </c>
      <c r="V255" s="50">
        <v>2011.9</v>
      </c>
      <c r="W255" s="50">
        <v>2050</v>
      </c>
      <c r="X255" s="50">
        <v>1038.5</v>
      </c>
      <c r="Y255" s="50">
        <v>850</v>
      </c>
      <c r="Z255" s="50">
        <v>850</v>
      </c>
      <c r="AA255" s="50">
        <v>1359</v>
      </c>
      <c r="AB255" s="50">
        <v>1577</v>
      </c>
      <c r="AC255" s="50">
        <v>964</v>
      </c>
      <c r="AD255" s="53">
        <f t="shared" si="103"/>
        <v>16964.629999999997</v>
      </c>
      <c r="AE255" s="50">
        <f t="shared" si="104"/>
        <v>1035.3700000000026</v>
      </c>
      <c r="AF255" s="616">
        <f t="shared" si="86"/>
        <v>94.24794444444443</v>
      </c>
    </row>
    <row r="256" spans="2:32" s="34" customFormat="1" ht="12.75">
      <c r="B256" s="40"/>
      <c r="C256" s="48"/>
      <c r="D256" s="48">
        <v>4210</v>
      </c>
      <c r="E256" s="49" t="s">
        <v>1201</v>
      </c>
      <c r="F256" s="50">
        <v>25000</v>
      </c>
      <c r="G256" s="51">
        <v>30024</v>
      </c>
      <c r="H256" s="51"/>
      <c r="I256" s="72">
        <v>-30000</v>
      </c>
      <c r="J256" s="51"/>
      <c r="K256" s="51"/>
      <c r="L256" s="51"/>
      <c r="M256" s="51"/>
      <c r="N256" s="51"/>
      <c r="O256" s="51">
        <v>30000</v>
      </c>
      <c r="P256" s="51"/>
      <c r="Q256" s="52">
        <f t="shared" si="102"/>
        <v>55024</v>
      </c>
      <c r="R256" s="50">
        <v>2696.85</v>
      </c>
      <c r="S256" s="50">
        <v>3510.8</v>
      </c>
      <c r="T256" s="50">
        <v>2520.58</v>
      </c>
      <c r="U256" s="50">
        <v>1303</v>
      </c>
      <c r="V256" s="50">
        <v>2679.81</v>
      </c>
      <c r="W256" s="50">
        <v>4070.27</v>
      </c>
      <c r="X256" s="50">
        <v>1638.48</v>
      </c>
      <c r="Y256" s="50">
        <v>582.34</v>
      </c>
      <c r="Z256" s="50">
        <v>1687.14</v>
      </c>
      <c r="AA256" s="50">
        <v>391.61</v>
      </c>
      <c r="AB256" s="50">
        <v>379.11</v>
      </c>
      <c r="AC256" s="50">
        <v>6759.89</v>
      </c>
      <c r="AD256" s="53">
        <f t="shared" si="103"/>
        <v>28219.879999999997</v>
      </c>
      <c r="AE256" s="50">
        <f t="shared" si="104"/>
        <v>26804.120000000003</v>
      </c>
      <c r="AF256" s="616">
        <f t="shared" si="86"/>
        <v>51.28649316661819</v>
      </c>
    </row>
    <row r="257" spans="2:32" s="34" customFormat="1" ht="12.75">
      <c r="B257" s="40"/>
      <c r="C257" s="48"/>
      <c r="D257" s="48">
        <v>4260</v>
      </c>
      <c r="E257" s="49" t="s">
        <v>527</v>
      </c>
      <c r="F257" s="50">
        <v>6000</v>
      </c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2">
        <f t="shared" si="102"/>
        <v>6000</v>
      </c>
      <c r="R257" s="50"/>
      <c r="S257" s="50">
        <v>2265.11</v>
      </c>
      <c r="T257" s="50"/>
      <c r="U257" s="50">
        <v>286.32</v>
      </c>
      <c r="V257" s="50"/>
      <c r="W257" s="50">
        <v>46.46</v>
      </c>
      <c r="X257" s="50">
        <v>13.26</v>
      </c>
      <c r="Y257" s="50">
        <v>38.41</v>
      </c>
      <c r="Z257" s="50"/>
      <c r="AA257" s="50">
        <v>44.97</v>
      </c>
      <c r="AB257" s="50"/>
      <c r="AC257" s="50">
        <v>62.15</v>
      </c>
      <c r="AD257" s="53">
        <f t="shared" si="103"/>
        <v>2756.6800000000003</v>
      </c>
      <c r="AE257" s="50">
        <f t="shared" si="104"/>
        <v>3243.3199999999997</v>
      </c>
      <c r="AF257" s="616">
        <f t="shared" si="86"/>
        <v>45.94466666666667</v>
      </c>
    </row>
    <row r="258" spans="2:32" s="34" customFormat="1" ht="12.75">
      <c r="B258" s="40"/>
      <c r="C258" s="48"/>
      <c r="D258" s="48">
        <v>4270</v>
      </c>
      <c r="E258" s="49" t="s">
        <v>1202</v>
      </c>
      <c r="F258" s="50">
        <v>4000</v>
      </c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2">
        <f t="shared" si="102"/>
        <v>4000</v>
      </c>
      <c r="R258" s="50">
        <v>636.84</v>
      </c>
      <c r="S258" s="50">
        <v>792</v>
      </c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3">
        <f t="shared" si="103"/>
        <v>1428.8400000000001</v>
      </c>
      <c r="AE258" s="50">
        <f t="shared" si="104"/>
        <v>2571.16</v>
      </c>
      <c r="AF258" s="616">
        <f t="shared" si="86"/>
        <v>35.721</v>
      </c>
    </row>
    <row r="259" spans="2:32" s="34" customFormat="1" ht="12.75">
      <c r="B259" s="40"/>
      <c r="C259" s="48"/>
      <c r="D259" s="48">
        <v>4300</v>
      </c>
      <c r="E259" s="49" t="s">
        <v>1203</v>
      </c>
      <c r="F259" s="50">
        <v>25800</v>
      </c>
      <c r="G259" s="51">
        <v>10000</v>
      </c>
      <c r="H259" s="51"/>
      <c r="I259" s="51"/>
      <c r="J259" s="51"/>
      <c r="K259" s="51"/>
      <c r="L259" s="51"/>
      <c r="M259" s="51"/>
      <c r="N259" s="51"/>
      <c r="O259" s="51"/>
      <c r="P259" s="51"/>
      <c r="Q259" s="52">
        <f t="shared" si="102"/>
        <v>35800</v>
      </c>
      <c r="R259" s="50"/>
      <c r="S259" s="50">
        <v>7842.6</v>
      </c>
      <c r="T259" s="50">
        <v>2811.4</v>
      </c>
      <c r="U259" s="50">
        <v>2626.4</v>
      </c>
      <c r="V259" s="50">
        <v>3040</v>
      </c>
      <c r="W259" s="50">
        <v>7980.07</v>
      </c>
      <c r="X259" s="50">
        <v>1038.67</v>
      </c>
      <c r="Y259" s="50">
        <v>125</v>
      </c>
      <c r="Z259" s="50">
        <v>6905</v>
      </c>
      <c r="AA259" s="50">
        <v>440</v>
      </c>
      <c r="AB259" s="50"/>
      <c r="AC259" s="50">
        <v>1370</v>
      </c>
      <c r="AD259" s="53">
        <f t="shared" si="103"/>
        <v>34179.14</v>
      </c>
      <c r="AE259" s="50">
        <f t="shared" si="104"/>
        <v>1620.8600000000006</v>
      </c>
      <c r="AF259" s="616">
        <f t="shared" si="86"/>
        <v>95.47245810055865</v>
      </c>
    </row>
    <row r="260" spans="2:32" s="34" customFormat="1" ht="25.5">
      <c r="B260" s="40"/>
      <c r="C260" s="48"/>
      <c r="D260" s="48">
        <v>4370</v>
      </c>
      <c r="E260" s="49" t="s">
        <v>537</v>
      </c>
      <c r="F260" s="50">
        <v>700</v>
      </c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2">
        <f t="shared" si="102"/>
        <v>700</v>
      </c>
      <c r="R260" s="50">
        <v>44.82</v>
      </c>
      <c r="S260" s="50">
        <v>46.59</v>
      </c>
      <c r="T260" s="50">
        <v>43.76</v>
      </c>
      <c r="U260" s="50">
        <v>50.13</v>
      </c>
      <c r="V260" s="50">
        <v>44.47</v>
      </c>
      <c r="W260" s="50">
        <v>45.88</v>
      </c>
      <c r="X260" s="50">
        <v>43.05</v>
      </c>
      <c r="Y260" s="50">
        <v>46.59</v>
      </c>
      <c r="Z260" s="50">
        <v>46.95</v>
      </c>
      <c r="AA260" s="50">
        <v>45.88</v>
      </c>
      <c r="AB260" s="50">
        <v>44.01</v>
      </c>
      <c r="AC260" s="50">
        <v>45.88</v>
      </c>
      <c r="AD260" s="53">
        <f>SUM(R260:AC260)</f>
        <v>548.01</v>
      </c>
      <c r="AE260" s="50">
        <f>Q260-AD260</f>
        <v>151.99</v>
      </c>
      <c r="AF260" s="616">
        <f>AD260*100/Q260</f>
        <v>78.28714285714285</v>
      </c>
    </row>
    <row r="261" spans="2:32" s="34" customFormat="1" ht="12.75">
      <c r="B261" s="40"/>
      <c r="C261" s="48"/>
      <c r="D261" s="48">
        <v>4410</v>
      </c>
      <c r="E261" s="49" t="s">
        <v>528</v>
      </c>
      <c r="F261" s="50">
        <v>1000</v>
      </c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2">
        <f t="shared" si="102"/>
        <v>1000</v>
      </c>
      <c r="R261" s="50"/>
      <c r="S261" s="50"/>
      <c r="T261" s="50">
        <v>73</v>
      </c>
      <c r="U261" s="50">
        <v>54.92</v>
      </c>
      <c r="V261" s="50">
        <v>283.26</v>
      </c>
      <c r="W261" s="50"/>
      <c r="X261" s="50"/>
      <c r="Y261" s="50"/>
      <c r="Z261" s="50">
        <v>28.39</v>
      </c>
      <c r="AA261" s="50"/>
      <c r="AB261" s="50"/>
      <c r="AC261" s="50"/>
      <c r="AD261" s="53">
        <f t="shared" si="103"/>
        <v>439.57</v>
      </c>
      <c r="AE261" s="50">
        <f t="shared" si="104"/>
        <v>560.4300000000001</v>
      </c>
      <c r="AF261" s="616">
        <f t="shared" si="86"/>
        <v>43.957</v>
      </c>
    </row>
    <row r="262" spans="2:32" s="34" customFormat="1" ht="12.75">
      <c r="B262" s="40"/>
      <c r="C262" s="48"/>
      <c r="D262" s="48">
        <v>4430</v>
      </c>
      <c r="E262" s="49" t="s">
        <v>1210</v>
      </c>
      <c r="F262" s="50">
        <v>500</v>
      </c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2">
        <f t="shared" si="102"/>
        <v>500</v>
      </c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3">
        <f>SUM(R262:AC262)</f>
        <v>0</v>
      </c>
      <c r="AE262" s="50">
        <f>Q262-AD262</f>
        <v>500</v>
      </c>
      <c r="AF262" s="616">
        <f>AD262*100/Q262</f>
        <v>0</v>
      </c>
    </row>
    <row r="263" spans="2:32" s="34" customFormat="1" ht="25.5">
      <c r="B263" s="40"/>
      <c r="C263" s="48"/>
      <c r="D263" s="48">
        <v>4740</v>
      </c>
      <c r="E263" s="49" t="s">
        <v>497</v>
      </c>
      <c r="F263" s="50">
        <v>1000</v>
      </c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2">
        <f t="shared" si="102"/>
        <v>1000</v>
      </c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3">
        <f t="shared" si="103"/>
        <v>0</v>
      </c>
      <c r="AE263" s="50">
        <f t="shared" si="104"/>
        <v>1000</v>
      </c>
      <c r="AF263" s="616">
        <f t="shared" si="86"/>
        <v>0</v>
      </c>
    </row>
    <row r="264" spans="2:32" s="34" customFormat="1" ht="38.25">
      <c r="B264" s="40"/>
      <c r="C264" s="48"/>
      <c r="D264" s="48">
        <v>6170</v>
      </c>
      <c r="E264" s="49" t="s">
        <v>576</v>
      </c>
      <c r="F264" s="50"/>
      <c r="G264" s="51"/>
      <c r="H264" s="51"/>
      <c r="I264" s="51">
        <v>30000</v>
      </c>
      <c r="J264" s="51"/>
      <c r="K264" s="51"/>
      <c r="L264" s="51"/>
      <c r="M264" s="51"/>
      <c r="N264" s="51"/>
      <c r="O264" s="72">
        <v>-30000</v>
      </c>
      <c r="P264" s="72"/>
      <c r="Q264" s="52">
        <f t="shared" si="102"/>
        <v>0</v>
      </c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3">
        <f t="shared" si="103"/>
        <v>0</v>
      </c>
      <c r="AE264" s="50">
        <f t="shared" si="104"/>
        <v>0</v>
      </c>
      <c r="AF264" s="616"/>
    </row>
    <row r="265" spans="2:32" s="34" customFormat="1" ht="12.75">
      <c r="B265" s="40"/>
      <c r="C265" s="42">
        <v>85195</v>
      </c>
      <c r="D265" s="42"/>
      <c r="E265" s="43" t="s">
        <v>99</v>
      </c>
      <c r="F265" s="44">
        <f>F267</f>
        <v>70000</v>
      </c>
      <c r="G265" s="45">
        <f aca="true" t="shared" si="105" ref="G265:O265">G267</f>
        <v>0</v>
      </c>
      <c r="H265" s="45">
        <f t="shared" si="105"/>
        <v>0</v>
      </c>
      <c r="I265" s="45">
        <f t="shared" si="105"/>
        <v>0</v>
      </c>
      <c r="J265" s="45">
        <f t="shared" si="105"/>
        <v>0</v>
      </c>
      <c r="K265" s="45">
        <f t="shared" si="105"/>
        <v>0</v>
      </c>
      <c r="L265" s="45">
        <f t="shared" si="105"/>
        <v>0</v>
      </c>
      <c r="M265" s="45">
        <f t="shared" si="105"/>
        <v>0</v>
      </c>
      <c r="N265" s="45">
        <f t="shared" si="105"/>
        <v>0</v>
      </c>
      <c r="O265" s="45">
        <f t="shared" si="105"/>
        <v>0</v>
      </c>
      <c r="P265" s="45">
        <f>P267+P266</f>
        <v>0</v>
      </c>
      <c r="Q265" s="46">
        <f>Q267+Q268+Q266</f>
        <v>70000</v>
      </c>
      <c r="R265" s="44">
        <f>R267</f>
        <v>0</v>
      </c>
      <c r="S265" s="44">
        <f aca="true" t="shared" si="106" ref="S265:AB265">S267</f>
        <v>0</v>
      </c>
      <c r="T265" s="44">
        <f t="shared" si="106"/>
        <v>0</v>
      </c>
      <c r="U265" s="44">
        <f t="shared" si="106"/>
        <v>0</v>
      </c>
      <c r="V265" s="44">
        <f t="shared" si="106"/>
        <v>0</v>
      </c>
      <c r="W265" s="44">
        <f t="shared" si="106"/>
        <v>0</v>
      </c>
      <c r="X265" s="44">
        <f t="shared" si="106"/>
        <v>0</v>
      </c>
      <c r="Y265" s="44">
        <f t="shared" si="106"/>
        <v>0</v>
      </c>
      <c r="Z265" s="44">
        <f t="shared" si="106"/>
        <v>17957.42</v>
      </c>
      <c r="AA265" s="44">
        <f t="shared" si="106"/>
        <v>0</v>
      </c>
      <c r="AB265" s="44">
        <f t="shared" si="106"/>
        <v>0</v>
      </c>
      <c r="AC265" s="44">
        <f>AC267+AC266</f>
        <v>51162</v>
      </c>
      <c r="AD265" s="44">
        <f>AD267+AD266</f>
        <v>69119.42</v>
      </c>
      <c r="AE265" s="44">
        <f>AE267+AE266</f>
        <v>880.5800000000017</v>
      </c>
      <c r="AF265" s="615">
        <f t="shared" si="86"/>
        <v>98.74202857142858</v>
      </c>
    </row>
    <row r="266" spans="2:32" s="34" customFormat="1" ht="12.75">
      <c r="B266" s="40"/>
      <c r="C266" s="42"/>
      <c r="D266" s="48">
        <v>4210</v>
      </c>
      <c r="E266" s="49" t="s">
        <v>1201</v>
      </c>
      <c r="F266" s="44"/>
      <c r="G266" s="45"/>
      <c r="H266" s="45"/>
      <c r="I266" s="45"/>
      <c r="J266" s="45"/>
      <c r="K266" s="45"/>
      <c r="L266" s="45"/>
      <c r="M266" s="45"/>
      <c r="N266" s="45"/>
      <c r="O266" s="45"/>
      <c r="P266" s="51">
        <v>170</v>
      </c>
      <c r="Q266" s="52">
        <f>F266+G266+H266+I266+J266+K266+L266+M266+N266+O266+P266</f>
        <v>170</v>
      </c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50">
        <v>162</v>
      </c>
      <c r="AD266" s="53">
        <f>SUM(R266:AC266)</f>
        <v>162</v>
      </c>
      <c r="AE266" s="50">
        <f>Q266-AD266</f>
        <v>8</v>
      </c>
      <c r="AF266" s="616">
        <f t="shared" si="86"/>
        <v>95.29411764705883</v>
      </c>
    </row>
    <row r="267" spans="2:32" s="34" customFormat="1" ht="12.75">
      <c r="B267" s="40"/>
      <c r="C267" s="42"/>
      <c r="D267" s="48">
        <v>4270</v>
      </c>
      <c r="E267" s="49" t="s">
        <v>1202</v>
      </c>
      <c r="F267" s="50">
        <v>70000</v>
      </c>
      <c r="G267" s="51"/>
      <c r="H267" s="51"/>
      <c r="I267" s="51"/>
      <c r="J267" s="51"/>
      <c r="K267" s="51"/>
      <c r="L267" s="51"/>
      <c r="M267" s="51"/>
      <c r="N267" s="51"/>
      <c r="O267" s="51"/>
      <c r="P267" s="72">
        <v>-170</v>
      </c>
      <c r="Q267" s="52">
        <f>F267+G267+H267+I267+J267+K267+L267+M267+N267+O267+P267</f>
        <v>69830</v>
      </c>
      <c r="R267" s="50"/>
      <c r="S267" s="50"/>
      <c r="T267" s="50"/>
      <c r="U267" s="50"/>
      <c r="V267" s="50"/>
      <c r="W267" s="50"/>
      <c r="X267" s="50"/>
      <c r="Y267" s="50"/>
      <c r="Z267" s="50">
        <v>17957.42</v>
      </c>
      <c r="AA267" s="50"/>
      <c r="AB267" s="50"/>
      <c r="AC267" s="50">
        <v>51000</v>
      </c>
      <c r="AD267" s="53">
        <f>SUM(R267:AC267)</f>
        <v>68957.42</v>
      </c>
      <c r="AE267" s="50">
        <f>Q267-AD267</f>
        <v>872.5800000000017</v>
      </c>
      <c r="AF267" s="616">
        <f t="shared" si="86"/>
        <v>98.75042245453244</v>
      </c>
    </row>
    <row r="268" spans="2:32" s="34" customFormat="1" ht="51" hidden="1">
      <c r="B268" s="40"/>
      <c r="C268" s="42"/>
      <c r="D268" s="48">
        <v>6300</v>
      </c>
      <c r="E268" s="49" t="s">
        <v>577</v>
      </c>
      <c r="F268" s="44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52">
        <f>F268+G268+H268+I268+J268+K268+L268</f>
        <v>0</v>
      </c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53">
        <f>SUM(R268:AC268)</f>
        <v>0</v>
      </c>
      <c r="AE268" s="50">
        <f>Q268-AD268</f>
        <v>0</v>
      </c>
      <c r="AF268" s="616" t="e">
        <f t="shared" si="86"/>
        <v>#DIV/0!</v>
      </c>
    </row>
    <row r="269" spans="2:32" s="34" customFormat="1" ht="12.75">
      <c r="B269" s="60">
        <v>852</v>
      </c>
      <c r="C269" s="78"/>
      <c r="D269" s="78"/>
      <c r="E269" s="62" t="s">
        <v>954</v>
      </c>
      <c r="F269" s="58">
        <f>F277+F279+F283+F285+F306+F308+F270</f>
        <v>3323700</v>
      </c>
      <c r="G269" s="69">
        <f aca="true" t="shared" si="107" ref="G269:AB269">G277+G279+G283+G285+G306+G308+G270</f>
        <v>-233500</v>
      </c>
      <c r="H269" s="59">
        <f t="shared" si="107"/>
        <v>0</v>
      </c>
      <c r="I269" s="59">
        <f t="shared" si="107"/>
        <v>0</v>
      </c>
      <c r="J269" s="59">
        <f t="shared" si="107"/>
        <v>14060</v>
      </c>
      <c r="K269" s="59">
        <f t="shared" si="107"/>
        <v>0</v>
      </c>
      <c r="L269" s="59">
        <f t="shared" si="107"/>
        <v>8341</v>
      </c>
      <c r="M269" s="59">
        <f t="shared" si="107"/>
        <v>0</v>
      </c>
      <c r="N269" s="69">
        <f t="shared" si="107"/>
        <v>-90000</v>
      </c>
      <c r="O269" s="59">
        <f t="shared" si="107"/>
        <v>4358</v>
      </c>
      <c r="P269" s="59">
        <f t="shared" si="107"/>
        <v>-6416</v>
      </c>
      <c r="Q269" s="58">
        <f t="shared" si="107"/>
        <v>3020543</v>
      </c>
      <c r="R269" s="58">
        <f t="shared" si="107"/>
        <v>224479.35999999996</v>
      </c>
      <c r="S269" s="58">
        <f t="shared" si="107"/>
        <v>223211.77999999997</v>
      </c>
      <c r="T269" s="58">
        <f t="shared" si="107"/>
        <v>215187.49000000002</v>
      </c>
      <c r="U269" s="58">
        <f t="shared" si="107"/>
        <v>224438.72</v>
      </c>
      <c r="V269" s="58">
        <f t="shared" si="107"/>
        <v>219224.83000000002</v>
      </c>
      <c r="W269" s="58">
        <f t="shared" si="107"/>
        <v>216804.30000000005</v>
      </c>
      <c r="X269" s="58">
        <f t="shared" si="107"/>
        <v>195691.65000000002</v>
      </c>
      <c r="Y269" s="58">
        <f t="shared" si="107"/>
        <v>201924.93000000002</v>
      </c>
      <c r="Z269" s="58">
        <f t="shared" si="107"/>
        <v>213780.58000000002</v>
      </c>
      <c r="AA269" s="58">
        <f>AA277+AA279+AA283+AA285+AA306+AA308+AA270</f>
        <v>271355.51</v>
      </c>
      <c r="AB269" s="58">
        <f t="shared" si="107"/>
        <v>236802.22</v>
      </c>
      <c r="AC269" s="58">
        <f>AC277+AC279+AC283+AC285+AC306+AC308+AC270</f>
        <v>233444.5</v>
      </c>
      <c r="AD269" s="58">
        <f>AD277+AD279+AD283+AD285+AD306+AD308+AD270</f>
        <v>2676345.8699999996</v>
      </c>
      <c r="AE269" s="58">
        <f>AE277+AE279+AE283+AE285+AE306+AE308+AE270</f>
        <v>344197.1300000002</v>
      </c>
      <c r="AF269" s="614">
        <f t="shared" si="86"/>
        <v>88.60479291306231</v>
      </c>
    </row>
    <row r="270" spans="2:34" s="63" customFormat="1" ht="38.25">
      <c r="B270" s="618"/>
      <c r="C270" s="74">
        <v>85212</v>
      </c>
      <c r="D270" s="79"/>
      <c r="E270" s="43" t="s">
        <v>955</v>
      </c>
      <c r="F270" s="64">
        <f>SUM(F271:F276)</f>
        <v>2302100</v>
      </c>
      <c r="G270" s="80">
        <f aca="true" t="shared" si="108" ref="G270:AB270">SUM(G271:G276)</f>
        <v>-229500</v>
      </c>
      <c r="H270" s="65">
        <f t="shared" si="108"/>
        <v>0</v>
      </c>
      <c r="I270" s="65">
        <f t="shared" si="108"/>
        <v>0</v>
      </c>
      <c r="J270" s="65">
        <f t="shared" si="108"/>
        <v>0</v>
      </c>
      <c r="K270" s="65">
        <f t="shared" si="108"/>
        <v>0</v>
      </c>
      <c r="L270" s="65">
        <f t="shared" si="108"/>
        <v>0</v>
      </c>
      <c r="M270" s="65">
        <f t="shared" si="108"/>
        <v>0</v>
      </c>
      <c r="N270" s="80">
        <f t="shared" si="108"/>
        <v>-90000</v>
      </c>
      <c r="O270" s="65">
        <f t="shared" si="108"/>
        <v>0</v>
      </c>
      <c r="P270" s="65">
        <f t="shared" si="108"/>
        <v>0</v>
      </c>
      <c r="Q270" s="46">
        <f t="shared" si="108"/>
        <v>1982600</v>
      </c>
      <c r="R270" s="64">
        <f t="shared" si="108"/>
        <v>146649.82999999996</v>
      </c>
      <c r="S270" s="64">
        <f t="shared" si="108"/>
        <v>144429.56</v>
      </c>
      <c r="T270" s="64">
        <f t="shared" si="108"/>
        <v>147908.96000000002</v>
      </c>
      <c r="U270" s="64">
        <f t="shared" si="108"/>
        <v>148672.76</v>
      </c>
      <c r="V270" s="64">
        <f t="shared" si="108"/>
        <v>144050.38</v>
      </c>
      <c r="W270" s="64">
        <f t="shared" si="108"/>
        <v>151562.24000000002</v>
      </c>
      <c r="X270" s="64">
        <f t="shared" si="108"/>
        <v>135321.98000000004</v>
      </c>
      <c r="Y270" s="64">
        <f t="shared" si="108"/>
        <v>140582.50000000003</v>
      </c>
      <c r="Z270" s="64">
        <f t="shared" si="108"/>
        <v>145571.36000000002</v>
      </c>
      <c r="AA270" s="64">
        <f t="shared" si="108"/>
        <v>190427.88999999998</v>
      </c>
      <c r="AB270" s="64">
        <f t="shared" si="108"/>
        <v>138127.1</v>
      </c>
      <c r="AC270" s="64">
        <f>SUM(AC271:AC276)</f>
        <v>134187.31</v>
      </c>
      <c r="AD270" s="64">
        <f>SUM(AD271:AD276)</f>
        <v>1767491.8699999999</v>
      </c>
      <c r="AE270" s="64">
        <f>SUM(AE271:AE276)</f>
        <v>215108.13000000012</v>
      </c>
      <c r="AF270" s="615">
        <f t="shared" si="86"/>
        <v>89.15020024210632</v>
      </c>
      <c r="AG270" s="84"/>
      <c r="AH270" s="84"/>
    </row>
    <row r="271" spans="2:32" s="63" customFormat="1" ht="12.75">
      <c r="B271" s="618"/>
      <c r="C271" s="79"/>
      <c r="D271" s="48">
        <v>3110</v>
      </c>
      <c r="E271" s="49" t="s">
        <v>578</v>
      </c>
      <c r="F271" s="66">
        <v>2233037</v>
      </c>
      <c r="G271" s="68">
        <v>-222615</v>
      </c>
      <c r="H271" s="67"/>
      <c r="I271" s="67"/>
      <c r="J271" s="67"/>
      <c r="K271" s="67"/>
      <c r="L271" s="67"/>
      <c r="M271" s="67"/>
      <c r="N271" s="68">
        <v>-87300</v>
      </c>
      <c r="O271" s="67"/>
      <c r="P271" s="67"/>
      <c r="Q271" s="52">
        <f aca="true" t="shared" si="109" ref="Q271:Q276">F271+G271+H271+I271+J271+K271+L271+M271+N271+O271+P271</f>
        <v>1923122</v>
      </c>
      <c r="R271" s="66">
        <v>141387.3</v>
      </c>
      <c r="S271" s="66">
        <v>139986.8</v>
      </c>
      <c r="T271" s="66">
        <v>143277.5</v>
      </c>
      <c r="U271" s="66">
        <v>143384.5</v>
      </c>
      <c r="V271" s="66">
        <v>139503.18</v>
      </c>
      <c r="W271" s="66">
        <v>146994.68</v>
      </c>
      <c r="X271" s="66">
        <v>129690.21</v>
      </c>
      <c r="Y271" s="66">
        <v>136027.94</v>
      </c>
      <c r="Z271" s="66">
        <v>141302.8</v>
      </c>
      <c r="AA271" s="66">
        <v>182775.12</v>
      </c>
      <c r="AB271" s="66">
        <f>134039.12+340</f>
        <v>134379.12</v>
      </c>
      <c r="AC271" s="66">
        <v>136097.96</v>
      </c>
      <c r="AD271" s="53">
        <f aca="true" t="shared" si="110" ref="AD271:AD276">SUM(R271:AC271)</f>
        <v>1714807.1099999999</v>
      </c>
      <c r="AE271" s="50">
        <f aca="true" t="shared" si="111" ref="AE271:AE276">Q271-AD271</f>
        <v>208314.89000000013</v>
      </c>
      <c r="AF271" s="616">
        <f t="shared" si="86"/>
        <v>89.16787962490159</v>
      </c>
    </row>
    <row r="272" spans="2:32" s="63" customFormat="1" ht="12.75">
      <c r="B272" s="618"/>
      <c r="C272" s="79"/>
      <c r="D272" s="48">
        <v>4010</v>
      </c>
      <c r="E272" s="49" t="s">
        <v>524</v>
      </c>
      <c r="F272" s="66">
        <v>44233</v>
      </c>
      <c r="G272" s="68">
        <v>-4410</v>
      </c>
      <c r="H272" s="67"/>
      <c r="I272" s="67"/>
      <c r="J272" s="67"/>
      <c r="K272" s="67"/>
      <c r="L272" s="67"/>
      <c r="M272" s="67"/>
      <c r="N272" s="68">
        <v>-1728</v>
      </c>
      <c r="O272" s="67"/>
      <c r="P272" s="67"/>
      <c r="Q272" s="52">
        <f t="shared" si="109"/>
        <v>38095</v>
      </c>
      <c r="R272" s="66">
        <v>3686.08</v>
      </c>
      <c r="S272" s="66">
        <v>3285.17</v>
      </c>
      <c r="T272" s="66">
        <v>3285.17</v>
      </c>
      <c r="U272" s="66">
        <v>3285.17</v>
      </c>
      <c r="V272" s="66">
        <v>3285.17</v>
      </c>
      <c r="W272" s="66">
        <v>3285.17</v>
      </c>
      <c r="X272" s="66">
        <v>3285.17</v>
      </c>
      <c r="Y272" s="66">
        <v>3285.17</v>
      </c>
      <c r="Z272" s="66">
        <v>3285.17</v>
      </c>
      <c r="AA272" s="66">
        <v>2709.19</v>
      </c>
      <c r="AB272" s="66">
        <v>2709.19</v>
      </c>
      <c r="AC272" s="68">
        <v>-1424</v>
      </c>
      <c r="AD272" s="53">
        <f t="shared" si="110"/>
        <v>33961.81999999999</v>
      </c>
      <c r="AE272" s="50">
        <f t="shared" si="111"/>
        <v>4133.180000000008</v>
      </c>
      <c r="AF272" s="616">
        <f t="shared" si="86"/>
        <v>89.15033468959179</v>
      </c>
    </row>
    <row r="273" spans="2:32" s="63" customFormat="1" ht="12.75">
      <c r="B273" s="618"/>
      <c r="C273" s="79"/>
      <c r="D273" s="48">
        <v>4110</v>
      </c>
      <c r="E273" s="49" t="s">
        <v>525</v>
      </c>
      <c r="F273" s="66">
        <v>7564</v>
      </c>
      <c r="G273" s="68">
        <v>-754</v>
      </c>
      <c r="H273" s="67"/>
      <c r="I273" s="67"/>
      <c r="J273" s="67"/>
      <c r="K273" s="67"/>
      <c r="L273" s="67"/>
      <c r="M273" s="67"/>
      <c r="N273" s="68">
        <v>-297</v>
      </c>
      <c r="O273" s="67"/>
      <c r="P273" s="67"/>
      <c r="Q273" s="52">
        <f t="shared" si="109"/>
        <v>6513</v>
      </c>
      <c r="R273" s="66">
        <v>630.33</v>
      </c>
      <c r="S273" s="66">
        <v>561.79</v>
      </c>
      <c r="T273" s="66">
        <v>561.79</v>
      </c>
      <c r="U273" s="66">
        <v>561.79</v>
      </c>
      <c r="V273" s="66">
        <v>561.79</v>
      </c>
      <c r="W273" s="66">
        <v>561.79</v>
      </c>
      <c r="X273" s="66">
        <v>561.79</v>
      </c>
      <c r="Y273" s="66">
        <v>561.79</v>
      </c>
      <c r="Z273" s="66">
        <v>561.79</v>
      </c>
      <c r="AA273" s="66">
        <v>462.78</v>
      </c>
      <c r="AB273" s="66">
        <v>462.79</v>
      </c>
      <c r="AC273" s="68">
        <v>-243.47</v>
      </c>
      <c r="AD273" s="53">
        <f t="shared" si="110"/>
        <v>5806.749999999999</v>
      </c>
      <c r="AE273" s="50">
        <f t="shared" si="111"/>
        <v>706.2500000000009</v>
      </c>
      <c r="AF273" s="616">
        <f t="shared" si="86"/>
        <v>89.15630277905726</v>
      </c>
    </row>
    <row r="274" spans="2:32" s="63" customFormat="1" ht="12.75">
      <c r="B274" s="618"/>
      <c r="C274" s="79"/>
      <c r="D274" s="48">
        <v>4210</v>
      </c>
      <c r="E274" s="49" t="s">
        <v>1201</v>
      </c>
      <c r="F274" s="66">
        <v>7000</v>
      </c>
      <c r="G274" s="68">
        <v>-1721</v>
      </c>
      <c r="H274" s="67"/>
      <c r="I274" s="67"/>
      <c r="J274" s="67"/>
      <c r="K274" s="67"/>
      <c r="L274" s="67"/>
      <c r="M274" s="67"/>
      <c r="N274" s="68">
        <v>-675</v>
      </c>
      <c r="O274" s="68">
        <v>-2500</v>
      </c>
      <c r="P274" s="68"/>
      <c r="Q274" s="52">
        <f t="shared" si="109"/>
        <v>2104</v>
      </c>
      <c r="R274" s="66">
        <v>190.32</v>
      </c>
      <c r="S274" s="66"/>
      <c r="T274" s="66"/>
      <c r="U274" s="66"/>
      <c r="V274" s="66"/>
      <c r="W274" s="66"/>
      <c r="X274" s="66">
        <v>633.79</v>
      </c>
      <c r="Y274" s="66"/>
      <c r="Z274" s="66"/>
      <c r="AA274" s="66">
        <v>800</v>
      </c>
      <c r="AB274" s="66"/>
      <c r="AC274" s="68">
        <v>-817.08</v>
      </c>
      <c r="AD274" s="53">
        <f t="shared" si="110"/>
        <v>807.0299999999999</v>
      </c>
      <c r="AE274" s="50">
        <f t="shared" si="111"/>
        <v>1296.9700000000003</v>
      </c>
      <c r="AF274" s="616">
        <f t="shared" si="86"/>
        <v>38.35693916349809</v>
      </c>
    </row>
    <row r="275" spans="2:32" s="63" customFormat="1" ht="12.75">
      <c r="B275" s="618"/>
      <c r="C275" s="79"/>
      <c r="D275" s="48">
        <v>4300</v>
      </c>
      <c r="E275" s="49" t="s">
        <v>1203</v>
      </c>
      <c r="F275" s="66">
        <v>10000</v>
      </c>
      <c r="G275" s="67"/>
      <c r="H275" s="67"/>
      <c r="I275" s="67"/>
      <c r="J275" s="67"/>
      <c r="K275" s="67"/>
      <c r="L275" s="67"/>
      <c r="M275" s="67"/>
      <c r="N275" s="67"/>
      <c r="O275" s="67">
        <v>2500</v>
      </c>
      <c r="P275" s="67"/>
      <c r="Q275" s="52">
        <f t="shared" si="109"/>
        <v>12500</v>
      </c>
      <c r="R275" s="66">
        <v>755.8</v>
      </c>
      <c r="S275" s="66">
        <v>595.8</v>
      </c>
      <c r="T275" s="66">
        <v>711.5</v>
      </c>
      <c r="U275" s="66">
        <v>1441.3</v>
      </c>
      <c r="V275" s="66">
        <v>700.24</v>
      </c>
      <c r="W275" s="66">
        <v>720.6</v>
      </c>
      <c r="X275" s="66">
        <v>1096.1</v>
      </c>
      <c r="Y275" s="66">
        <v>707.6</v>
      </c>
      <c r="Z275" s="66">
        <v>421.6</v>
      </c>
      <c r="AA275" s="66">
        <v>3680.8</v>
      </c>
      <c r="AB275" s="66">
        <v>576</v>
      </c>
      <c r="AC275" s="66">
        <v>573.9</v>
      </c>
      <c r="AD275" s="53">
        <f>SUM(R275:AC275)</f>
        <v>11981.24</v>
      </c>
      <c r="AE275" s="50">
        <f t="shared" si="111"/>
        <v>518.7600000000002</v>
      </c>
      <c r="AF275" s="616">
        <f t="shared" si="86"/>
        <v>95.84992</v>
      </c>
    </row>
    <row r="276" spans="2:32" s="63" customFormat="1" ht="12.75">
      <c r="B276" s="618"/>
      <c r="C276" s="79"/>
      <c r="D276" s="48">
        <v>4410</v>
      </c>
      <c r="E276" s="49" t="s">
        <v>528</v>
      </c>
      <c r="F276" s="66">
        <v>266</v>
      </c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52">
        <f t="shared" si="109"/>
        <v>266</v>
      </c>
      <c r="R276" s="66"/>
      <c r="S276" s="66"/>
      <c r="T276" s="66">
        <v>73</v>
      </c>
      <c r="U276" s="66"/>
      <c r="V276" s="66"/>
      <c r="W276" s="66"/>
      <c r="X276" s="66">
        <v>54.92</v>
      </c>
      <c r="Y276" s="66"/>
      <c r="Z276" s="66"/>
      <c r="AA276" s="66"/>
      <c r="AB276" s="66"/>
      <c r="AC276" s="66"/>
      <c r="AD276" s="53">
        <f t="shared" si="110"/>
        <v>127.92</v>
      </c>
      <c r="AE276" s="50">
        <f t="shared" si="111"/>
        <v>138.07999999999998</v>
      </c>
      <c r="AF276" s="616">
        <f t="shared" si="86"/>
        <v>48.090225563909776</v>
      </c>
    </row>
    <row r="277" spans="2:32" s="63" customFormat="1" ht="38.25">
      <c r="B277" s="618"/>
      <c r="C277" s="42">
        <v>85213</v>
      </c>
      <c r="D277" s="42"/>
      <c r="E277" s="43" t="s">
        <v>381</v>
      </c>
      <c r="F277" s="44">
        <f aca="true" t="shared" si="112" ref="F277:AE277">F278</f>
        <v>11700</v>
      </c>
      <c r="G277" s="70">
        <f t="shared" si="112"/>
        <v>-1400</v>
      </c>
      <c r="H277" s="45">
        <f t="shared" si="112"/>
        <v>0</v>
      </c>
      <c r="I277" s="45">
        <f t="shared" si="112"/>
        <v>0</v>
      </c>
      <c r="J277" s="45">
        <f t="shared" si="112"/>
        <v>0</v>
      </c>
      <c r="K277" s="45">
        <f t="shared" si="112"/>
        <v>0</v>
      </c>
      <c r="L277" s="45">
        <f t="shared" si="112"/>
        <v>0</v>
      </c>
      <c r="M277" s="45">
        <f t="shared" si="112"/>
        <v>0</v>
      </c>
      <c r="N277" s="45">
        <f t="shared" si="112"/>
        <v>0</v>
      </c>
      <c r="O277" s="45">
        <f t="shared" si="112"/>
        <v>0</v>
      </c>
      <c r="P277" s="45">
        <f t="shared" si="112"/>
        <v>0</v>
      </c>
      <c r="Q277" s="46">
        <f>Q278</f>
        <v>10300</v>
      </c>
      <c r="R277" s="44">
        <f t="shared" si="112"/>
        <v>617.96</v>
      </c>
      <c r="S277" s="44">
        <f t="shared" si="112"/>
        <v>629.51</v>
      </c>
      <c r="T277" s="44">
        <f t="shared" si="112"/>
        <v>629.51</v>
      </c>
      <c r="U277" s="44">
        <f t="shared" si="112"/>
        <v>629.51</v>
      </c>
      <c r="V277" s="44">
        <f t="shared" si="112"/>
        <v>667.3100000000001</v>
      </c>
      <c r="W277" s="44">
        <f t="shared" si="112"/>
        <v>667.3100000000001</v>
      </c>
      <c r="X277" s="44">
        <f t="shared" si="112"/>
        <v>667.3100000000001</v>
      </c>
      <c r="Y277" s="44">
        <f t="shared" si="112"/>
        <v>667.3100000000001</v>
      </c>
      <c r="Z277" s="44">
        <f t="shared" si="112"/>
        <v>705.11</v>
      </c>
      <c r="AA277" s="44">
        <f t="shared" si="112"/>
        <v>667.3100000000001</v>
      </c>
      <c r="AB277" s="44">
        <f t="shared" si="112"/>
        <v>627.35</v>
      </c>
      <c r="AC277" s="44">
        <f t="shared" si="112"/>
        <v>707.27</v>
      </c>
      <c r="AD277" s="44">
        <f t="shared" si="112"/>
        <v>7882.77</v>
      </c>
      <c r="AE277" s="44">
        <f t="shared" si="112"/>
        <v>2417.2299999999996</v>
      </c>
      <c r="AF277" s="615">
        <f aca="true" t="shared" si="113" ref="AF277:AF341">AD277*100/Q277</f>
        <v>76.53174757281553</v>
      </c>
    </row>
    <row r="278" spans="2:32" s="63" customFormat="1" ht="12.75">
      <c r="B278" s="618"/>
      <c r="C278" s="79"/>
      <c r="D278" s="48">
        <v>4130</v>
      </c>
      <c r="E278" s="49" t="s">
        <v>579</v>
      </c>
      <c r="F278" s="66">
        <v>11700</v>
      </c>
      <c r="G278" s="68">
        <v>-1400</v>
      </c>
      <c r="H278" s="67"/>
      <c r="I278" s="67"/>
      <c r="J278" s="67"/>
      <c r="K278" s="67"/>
      <c r="L278" s="67"/>
      <c r="M278" s="67"/>
      <c r="N278" s="67"/>
      <c r="O278" s="67"/>
      <c r="P278" s="67"/>
      <c r="Q278" s="52">
        <f>F278+G278+H278+I278+J278+K278+L278+M278+N278+O278+P278</f>
        <v>10300</v>
      </c>
      <c r="R278" s="66">
        <f>404.25+213.71</f>
        <v>617.96</v>
      </c>
      <c r="S278" s="66">
        <f>415.8+213.71</f>
        <v>629.51</v>
      </c>
      <c r="T278" s="66">
        <f>415.8+213.71</f>
        <v>629.51</v>
      </c>
      <c r="U278" s="66">
        <f>415.8+213.71</f>
        <v>629.51</v>
      </c>
      <c r="V278" s="66">
        <f>453.6+213.71</f>
        <v>667.3100000000001</v>
      </c>
      <c r="W278" s="66">
        <f>453.6+213.71</f>
        <v>667.3100000000001</v>
      </c>
      <c r="X278" s="66">
        <f>453.6+213.71</f>
        <v>667.3100000000001</v>
      </c>
      <c r="Y278" s="66">
        <f>453.6+213.71</f>
        <v>667.3100000000001</v>
      </c>
      <c r="Z278" s="66">
        <f>491.4+213.71</f>
        <v>705.11</v>
      </c>
      <c r="AA278" s="66">
        <f>453.6+213.71</f>
        <v>667.3100000000001</v>
      </c>
      <c r="AB278" s="66">
        <f>453.6+173.75</f>
        <v>627.35</v>
      </c>
      <c r="AC278" s="66">
        <f>453.6+253.67</f>
        <v>707.27</v>
      </c>
      <c r="AD278" s="53">
        <f>SUM(R278:AC278)</f>
        <v>7882.77</v>
      </c>
      <c r="AE278" s="50">
        <f>Q278-AD278</f>
        <v>2417.2299999999996</v>
      </c>
      <c r="AF278" s="616">
        <f t="shared" si="113"/>
        <v>76.53174757281553</v>
      </c>
    </row>
    <row r="279" spans="2:32" s="34" customFormat="1" ht="25.5">
      <c r="B279" s="40"/>
      <c r="C279" s="42">
        <v>85214</v>
      </c>
      <c r="D279" s="42"/>
      <c r="E279" s="43" t="s">
        <v>383</v>
      </c>
      <c r="F279" s="44">
        <f>F280+F281+F282</f>
        <v>335600</v>
      </c>
      <c r="G279" s="70">
        <f aca="true" t="shared" si="114" ref="G279:L279">G280+G281+G282</f>
        <v>-2600</v>
      </c>
      <c r="H279" s="45">
        <f t="shared" si="114"/>
        <v>0</v>
      </c>
      <c r="I279" s="45">
        <f t="shared" si="114"/>
        <v>0</v>
      </c>
      <c r="J279" s="45">
        <f t="shared" si="114"/>
        <v>1859</v>
      </c>
      <c r="K279" s="45">
        <f t="shared" si="114"/>
        <v>0</v>
      </c>
      <c r="L279" s="45">
        <f t="shared" si="114"/>
        <v>0</v>
      </c>
      <c r="M279" s="45">
        <f>M280+M281+M282</f>
        <v>0</v>
      </c>
      <c r="N279" s="45">
        <f>N280+N281+N282</f>
        <v>0</v>
      </c>
      <c r="O279" s="45">
        <f>O280+O281+O282</f>
        <v>0</v>
      </c>
      <c r="P279" s="70">
        <f>P280+P281+P282</f>
        <v>-10816</v>
      </c>
      <c r="Q279" s="46">
        <f>SUM(Q280:Q282)</f>
        <v>324043</v>
      </c>
      <c r="R279" s="44">
        <f>R280+R281+R282</f>
        <v>15438.650000000001</v>
      </c>
      <c r="S279" s="44">
        <f aca="true" t="shared" si="115" ref="S279:AC279">S280+S281+S282</f>
        <v>16348.84</v>
      </c>
      <c r="T279" s="44">
        <f t="shared" si="115"/>
        <v>15629.14</v>
      </c>
      <c r="U279" s="44">
        <f t="shared" si="115"/>
        <v>19288.739999999998</v>
      </c>
      <c r="V279" s="44">
        <f t="shared" si="115"/>
        <v>16960.01</v>
      </c>
      <c r="W279" s="44">
        <f t="shared" si="115"/>
        <v>17276.39</v>
      </c>
      <c r="X279" s="44">
        <f t="shared" si="115"/>
        <v>13785.619999999999</v>
      </c>
      <c r="Y279" s="44">
        <f t="shared" si="115"/>
        <v>16878.02</v>
      </c>
      <c r="Z279" s="44">
        <f t="shared" si="115"/>
        <v>19345.62</v>
      </c>
      <c r="AA279" s="44">
        <f t="shared" si="115"/>
        <v>21870.56</v>
      </c>
      <c r="AB279" s="44">
        <f t="shared" si="115"/>
        <v>32120.059999999998</v>
      </c>
      <c r="AC279" s="44">
        <f t="shared" si="115"/>
        <v>24719.5</v>
      </c>
      <c r="AD279" s="44">
        <f>AD280+AD281+AD282</f>
        <v>229661.15</v>
      </c>
      <c r="AE279" s="44">
        <f>AE280+AE281+AE282</f>
        <v>94381.85</v>
      </c>
      <c r="AF279" s="615">
        <f t="shared" si="113"/>
        <v>70.87366491484156</v>
      </c>
    </row>
    <row r="280" spans="2:33" s="34" customFormat="1" ht="17.25" customHeight="1">
      <c r="B280" s="40"/>
      <c r="C280" s="48"/>
      <c r="D280" s="48">
        <v>3110</v>
      </c>
      <c r="E280" s="49" t="s">
        <v>578</v>
      </c>
      <c r="F280" s="50">
        <v>204000</v>
      </c>
      <c r="G280" s="72">
        <v>-2600</v>
      </c>
      <c r="H280" s="51"/>
      <c r="I280" s="51"/>
      <c r="J280" s="51">
        <v>1859</v>
      </c>
      <c r="K280" s="51"/>
      <c r="L280" s="51"/>
      <c r="M280" s="51"/>
      <c r="N280" s="51"/>
      <c r="O280" s="51"/>
      <c r="P280" s="72">
        <v>-10816</v>
      </c>
      <c r="Q280" s="52">
        <f>F280+G280+H280+I280+J280+K280+L280+M280+N280+O280+P280</f>
        <v>192443</v>
      </c>
      <c r="R280" s="50">
        <v>10636.11</v>
      </c>
      <c r="S280" s="50">
        <v>11546.3</v>
      </c>
      <c r="T280" s="50">
        <v>10826.6</v>
      </c>
      <c r="U280" s="50">
        <v>13396.3</v>
      </c>
      <c r="V280" s="50">
        <v>11477.13</v>
      </c>
      <c r="W280" s="50">
        <v>11782.07</v>
      </c>
      <c r="X280" s="50">
        <v>8291.3</v>
      </c>
      <c r="Y280" s="50">
        <v>11383.7</v>
      </c>
      <c r="Z280" s="50">
        <v>13851.3</v>
      </c>
      <c r="AA280" s="50">
        <v>15474.51</v>
      </c>
      <c r="AB280" s="50">
        <v>26283.64</v>
      </c>
      <c r="AC280" s="50">
        <v>20150.63</v>
      </c>
      <c r="AD280" s="53">
        <f>SUM(R280:AC280)</f>
        <v>165099.59</v>
      </c>
      <c r="AE280" s="50">
        <f>Q280-AD280</f>
        <v>27343.410000000003</v>
      </c>
      <c r="AF280" s="616">
        <f t="shared" si="113"/>
        <v>85.7914239541059</v>
      </c>
      <c r="AG280" s="54"/>
    </row>
    <row r="281" spans="2:32" s="34" customFormat="1" ht="12.75">
      <c r="B281" s="40"/>
      <c r="C281" s="48"/>
      <c r="D281" s="48">
        <v>4110</v>
      </c>
      <c r="E281" s="49" t="s">
        <v>693</v>
      </c>
      <c r="F281" s="50">
        <v>2000</v>
      </c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2">
        <f>F281+G281+H281+I281+J281+K281+L281+M281+N281+O281+P281</f>
        <v>2000</v>
      </c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3">
        <f>SUM(R281:AC281)</f>
        <v>0</v>
      </c>
      <c r="AE281" s="50">
        <f>Q281-AD281</f>
        <v>2000</v>
      </c>
      <c r="AF281" s="616">
        <f t="shared" si="113"/>
        <v>0</v>
      </c>
    </row>
    <row r="282" spans="2:32" s="34" customFormat="1" ht="38.25">
      <c r="B282" s="40"/>
      <c r="C282" s="48"/>
      <c r="D282" s="48">
        <v>4330</v>
      </c>
      <c r="E282" s="49" t="s">
        <v>694</v>
      </c>
      <c r="F282" s="50">
        <v>129600</v>
      </c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2">
        <f>F282+G282+H282+I282+J282+K282+L282+M282+N282+O282+P282</f>
        <v>129600</v>
      </c>
      <c r="R282" s="50">
        <v>4802.54</v>
      </c>
      <c r="S282" s="50">
        <v>4802.54</v>
      </c>
      <c r="T282" s="50">
        <v>4802.54</v>
      </c>
      <c r="U282" s="50">
        <v>5892.44</v>
      </c>
      <c r="V282" s="50">
        <v>5482.88</v>
      </c>
      <c r="W282" s="50">
        <v>5494.32</v>
      </c>
      <c r="X282" s="50">
        <v>5494.32</v>
      </c>
      <c r="Y282" s="50">
        <v>5494.32</v>
      </c>
      <c r="Z282" s="50">
        <v>5494.32</v>
      </c>
      <c r="AA282" s="50">
        <v>6396.05</v>
      </c>
      <c r="AB282" s="50">
        <v>5836.42</v>
      </c>
      <c r="AC282" s="50">
        <v>4568.87</v>
      </c>
      <c r="AD282" s="53">
        <f>SUM(R282:AC282)</f>
        <v>64561.560000000005</v>
      </c>
      <c r="AE282" s="50">
        <f>Q282-AD282</f>
        <v>65038.439999999995</v>
      </c>
      <c r="AF282" s="616">
        <f t="shared" si="113"/>
        <v>49.816018518518526</v>
      </c>
    </row>
    <row r="283" spans="2:32" s="34" customFormat="1" ht="12.75">
      <c r="B283" s="40"/>
      <c r="C283" s="42">
        <v>85215</v>
      </c>
      <c r="D283" s="42"/>
      <c r="E283" s="43" t="s">
        <v>695</v>
      </c>
      <c r="F283" s="44">
        <f aca="true" t="shared" si="116" ref="F283:AE283">SUM(F284)</f>
        <v>190000</v>
      </c>
      <c r="G283" s="45">
        <f t="shared" si="116"/>
        <v>0</v>
      </c>
      <c r="H283" s="45">
        <f t="shared" si="116"/>
        <v>0</v>
      </c>
      <c r="I283" s="45">
        <f t="shared" si="116"/>
        <v>0</v>
      </c>
      <c r="J283" s="45">
        <f t="shared" si="116"/>
        <v>0</v>
      </c>
      <c r="K283" s="45">
        <f t="shared" si="116"/>
        <v>0</v>
      </c>
      <c r="L283" s="45">
        <f t="shared" si="116"/>
        <v>0</v>
      </c>
      <c r="M283" s="45">
        <f t="shared" si="116"/>
        <v>0</v>
      </c>
      <c r="N283" s="45">
        <f t="shared" si="116"/>
        <v>0</v>
      </c>
      <c r="O283" s="45">
        <f t="shared" si="116"/>
        <v>0</v>
      </c>
      <c r="P283" s="45">
        <f t="shared" si="116"/>
        <v>0</v>
      </c>
      <c r="Q283" s="46">
        <f>SUM(Q284)</f>
        <v>190000</v>
      </c>
      <c r="R283" s="44">
        <f t="shared" si="116"/>
        <v>16490.26</v>
      </c>
      <c r="S283" s="44">
        <f t="shared" si="116"/>
        <v>16405.99</v>
      </c>
      <c r="T283" s="44">
        <f t="shared" si="116"/>
        <v>16022.94</v>
      </c>
      <c r="U283" s="44">
        <f t="shared" si="116"/>
        <v>14619.78</v>
      </c>
      <c r="V283" s="44">
        <f t="shared" si="116"/>
        <v>14640.88</v>
      </c>
      <c r="W283" s="44">
        <f t="shared" si="116"/>
        <v>14337.93</v>
      </c>
      <c r="X283" s="44">
        <f t="shared" si="116"/>
        <v>14033.2</v>
      </c>
      <c r="Y283" s="44">
        <f t="shared" si="116"/>
        <v>13765.56</v>
      </c>
      <c r="Z283" s="44">
        <f t="shared" si="116"/>
        <v>13311.99</v>
      </c>
      <c r="AA283" s="44">
        <f t="shared" si="116"/>
        <v>15378.96</v>
      </c>
      <c r="AB283" s="44">
        <f t="shared" si="116"/>
        <v>14910.49</v>
      </c>
      <c r="AC283" s="44">
        <f t="shared" si="116"/>
        <v>13455.02</v>
      </c>
      <c r="AD283" s="44">
        <f t="shared" si="116"/>
        <v>177372.99999999997</v>
      </c>
      <c r="AE283" s="44">
        <f t="shared" si="116"/>
        <v>12627.00000000003</v>
      </c>
      <c r="AF283" s="615">
        <f t="shared" si="113"/>
        <v>93.35421052631577</v>
      </c>
    </row>
    <row r="284" spans="2:32" s="34" customFormat="1" ht="13.5" customHeight="1">
      <c r="B284" s="40"/>
      <c r="C284" s="48"/>
      <c r="D284" s="48">
        <v>3110</v>
      </c>
      <c r="E284" s="49" t="s">
        <v>578</v>
      </c>
      <c r="F284" s="50">
        <v>190000</v>
      </c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2">
        <f>F284+G284+H284+I284+J284+K284+L284+M284+N284+O284+P284</f>
        <v>190000</v>
      </c>
      <c r="R284" s="50">
        <v>16490.26</v>
      </c>
      <c r="S284" s="50">
        <v>16405.99</v>
      </c>
      <c r="T284" s="50">
        <v>16022.94</v>
      </c>
      <c r="U284" s="50">
        <v>14619.78</v>
      </c>
      <c r="V284" s="50">
        <v>14640.88</v>
      </c>
      <c r="W284" s="50">
        <v>14337.93</v>
      </c>
      <c r="X284" s="50">
        <v>14033.2</v>
      </c>
      <c r="Y284" s="50">
        <v>13765.56</v>
      </c>
      <c r="Z284" s="50">
        <v>13311.99</v>
      </c>
      <c r="AA284" s="50">
        <v>15378.96</v>
      </c>
      <c r="AB284" s="50">
        <v>14910.49</v>
      </c>
      <c r="AC284" s="50">
        <v>13455.02</v>
      </c>
      <c r="AD284" s="53">
        <f>SUM(R284:AC284)</f>
        <v>177372.99999999997</v>
      </c>
      <c r="AE284" s="50">
        <f>Q284-AD284</f>
        <v>12627.00000000003</v>
      </c>
      <c r="AF284" s="616">
        <f t="shared" si="113"/>
        <v>93.35421052631577</v>
      </c>
    </row>
    <row r="285" spans="2:32" s="34" customFormat="1" ht="12.75">
      <c r="B285" s="40"/>
      <c r="C285" s="42">
        <v>85219</v>
      </c>
      <c r="D285" s="42"/>
      <c r="E285" s="43" t="s">
        <v>384</v>
      </c>
      <c r="F285" s="44">
        <f>SUM(F286:F304)</f>
        <v>401300</v>
      </c>
      <c r="G285" s="45">
        <f>SUM(G286:G304)</f>
        <v>0</v>
      </c>
      <c r="H285" s="45">
        <f>SUM(H286:H302)</f>
        <v>0</v>
      </c>
      <c r="I285" s="45">
        <f>SUM(I286:I302)</f>
        <v>0</v>
      </c>
      <c r="J285" s="45">
        <f>SUM(J286:J304)</f>
        <v>0</v>
      </c>
      <c r="K285" s="45">
        <f>SUM(K286:K302)</f>
        <v>0</v>
      </c>
      <c r="L285" s="45">
        <f>SUM(L286:L302)</f>
        <v>0</v>
      </c>
      <c r="M285" s="45">
        <f>SUM(M286:M302)</f>
        <v>0</v>
      </c>
      <c r="N285" s="45">
        <f>SUM(N286:N305)</f>
        <v>0</v>
      </c>
      <c r="O285" s="45">
        <f>SUM(O286:O305)</f>
        <v>15000</v>
      </c>
      <c r="P285" s="45">
        <f>SUM(P286:P305)</f>
        <v>4400</v>
      </c>
      <c r="Q285" s="46">
        <f>SUM(Q286:Q305)</f>
        <v>420700</v>
      </c>
      <c r="R285" s="44">
        <f>SUM(R286:R302)</f>
        <v>40331.909999999996</v>
      </c>
      <c r="S285" s="44">
        <f aca="true" t="shared" si="117" ref="S285:AA285">SUM(S286:S302)</f>
        <v>38071.01999999999</v>
      </c>
      <c r="T285" s="44">
        <f t="shared" si="117"/>
        <v>27298.279999999995</v>
      </c>
      <c r="U285" s="44">
        <f t="shared" si="117"/>
        <v>27871.889999999996</v>
      </c>
      <c r="V285" s="44">
        <f>SUM(V286:V304)</f>
        <v>36143.14</v>
      </c>
      <c r="W285" s="44">
        <f t="shared" si="117"/>
        <v>28305.210000000006</v>
      </c>
      <c r="X285" s="44">
        <f>SUM(X286:X304)</f>
        <v>31098.169999999995</v>
      </c>
      <c r="Y285" s="44">
        <f t="shared" si="117"/>
        <v>28961.54</v>
      </c>
      <c r="Z285" s="44">
        <f>SUM(Z286:Z304)</f>
        <v>29709.270000000004</v>
      </c>
      <c r="AA285" s="44">
        <f t="shared" si="117"/>
        <v>36028.16</v>
      </c>
      <c r="AB285" s="44">
        <f>SUM(AB286:AB305)</f>
        <v>44848.409999999996</v>
      </c>
      <c r="AC285" s="44">
        <f>SUM(AC286:AC305)</f>
        <v>52032.99999999999</v>
      </c>
      <c r="AD285" s="44">
        <f>SUM(AD286:AD305)</f>
        <v>420700.00000000006</v>
      </c>
      <c r="AE285" s="44">
        <f>SUM(AE286:AE305)</f>
        <v>1.0231815394945443E-11</v>
      </c>
      <c r="AF285" s="615">
        <f t="shared" si="113"/>
        <v>100.00000000000001</v>
      </c>
    </row>
    <row r="286" spans="2:32" s="34" customFormat="1" ht="25.5">
      <c r="B286" s="40"/>
      <c r="C286" s="48"/>
      <c r="D286" s="48">
        <v>3020</v>
      </c>
      <c r="E286" s="49" t="s">
        <v>530</v>
      </c>
      <c r="F286" s="50">
        <v>5500</v>
      </c>
      <c r="G286" s="51"/>
      <c r="H286" s="51"/>
      <c r="I286" s="51"/>
      <c r="J286" s="51"/>
      <c r="K286" s="51"/>
      <c r="L286" s="51"/>
      <c r="M286" s="51"/>
      <c r="N286" s="51"/>
      <c r="O286" s="51">
        <v>2700</v>
      </c>
      <c r="P286" s="72">
        <v>-11</v>
      </c>
      <c r="Q286" s="52">
        <f aca="true" t="shared" si="118" ref="Q286:Q305">F286+G286+H286+I286+J286+K286+L286+M286+N286+O286+P286</f>
        <v>8189</v>
      </c>
      <c r="R286" s="50">
        <v>1480</v>
      </c>
      <c r="S286" s="50"/>
      <c r="T286" s="50"/>
      <c r="U286" s="50"/>
      <c r="V286" s="50">
        <v>222.78</v>
      </c>
      <c r="W286" s="50"/>
      <c r="X286" s="50">
        <v>378.72</v>
      </c>
      <c r="Y286" s="50">
        <v>186.75</v>
      </c>
      <c r="Z286" s="50"/>
      <c r="AA286" s="50"/>
      <c r="AB286" s="50">
        <v>1323</v>
      </c>
      <c r="AC286" s="50">
        <v>4598</v>
      </c>
      <c r="AD286" s="53">
        <f aca="true" t="shared" si="119" ref="AD286:AD305">SUM(R286:AC286)</f>
        <v>8189.25</v>
      </c>
      <c r="AE286" s="50">
        <f aca="true" t="shared" si="120" ref="AE286:AE305">Q286-AD286</f>
        <v>-0.25</v>
      </c>
      <c r="AF286" s="616">
        <f t="shared" si="113"/>
        <v>100.00305287580902</v>
      </c>
    </row>
    <row r="287" spans="2:32" s="34" customFormat="1" ht="12.75">
      <c r="B287" s="40"/>
      <c r="C287" s="48"/>
      <c r="D287" s="48">
        <v>4010</v>
      </c>
      <c r="E287" s="49" t="s">
        <v>524</v>
      </c>
      <c r="F287" s="50">
        <v>247900</v>
      </c>
      <c r="G287" s="51"/>
      <c r="H287" s="51"/>
      <c r="I287" s="51"/>
      <c r="J287" s="51"/>
      <c r="K287" s="51"/>
      <c r="L287" s="51"/>
      <c r="M287" s="51"/>
      <c r="N287" s="51"/>
      <c r="O287" s="51">
        <v>7600</v>
      </c>
      <c r="P287" s="51"/>
      <c r="Q287" s="52">
        <f t="shared" si="118"/>
        <v>255500</v>
      </c>
      <c r="R287" s="50">
        <v>19158.36</v>
      </c>
      <c r="S287" s="50">
        <v>19141.35</v>
      </c>
      <c r="T287" s="50">
        <v>19146.35</v>
      </c>
      <c r="U287" s="50">
        <v>18948.14</v>
      </c>
      <c r="V287" s="50">
        <v>19342.86</v>
      </c>
      <c r="W287" s="50">
        <v>19353.49</v>
      </c>
      <c r="X287" s="50">
        <v>22414.17</v>
      </c>
      <c r="Y287" s="50">
        <v>20775.52</v>
      </c>
      <c r="Z287" s="50">
        <v>20016.47</v>
      </c>
      <c r="AA287" s="50">
        <v>27095.09</v>
      </c>
      <c r="AB287" s="50">
        <v>27982.3</v>
      </c>
      <c r="AC287" s="50">
        <v>22125.9</v>
      </c>
      <c r="AD287" s="53">
        <f t="shared" si="119"/>
        <v>255499.99999999997</v>
      </c>
      <c r="AE287" s="50">
        <f t="shared" si="120"/>
        <v>0</v>
      </c>
      <c r="AF287" s="616">
        <f t="shared" si="113"/>
        <v>99.99999999999999</v>
      </c>
    </row>
    <row r="288" spans="2:32" s="34" customFormat="1" ht="12.75">
      <c r="B288" s="40"/>
      <c r="C288" s="48"/>
      <c r="D288" s="48">
        <v>4040</v>
      </c>
      <c r="E288" s="49" t="s">
        <v>531</v>
      </c>
      <c r="F288" s="50">
        <v>19400</v>
      </c>
      <c r="G288" s="51"/>
      <c r="H288" s="51"/>
      <c r="I288" s="51"/>
      <c r="J288" s="72">
        <v>-467</v>
      </c>
      <c r="K288" s="51"/>
      <c r="L288" s="51"/>
      <c r="M288" s="51"/>
      <c r="N288" s="51"/>
      <c r="O288" s="51"/>
      <c r="P288" s="51"/>
      <c r="Q288" s="52">
        <f t="shared" si="118"/>
        <v>18933</v>
      </c>
      <c r="R288" s="50">
        <v>12266.92</v>
      </c>
      <c r="S288" s="50">
        <v>6665.61</v>
      </c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3">
        <f t="shared" si="119"/>
        <v>18932.53</v>
      </c>
      <c r="AE288" s="50">
        <f t="shared" si="120"/>
        <v>0.47000000000116415</v>
      </c>
      <c r="AF288" s="616">
        <f t="shared" si="113"/>
        <v>99.9975175619289</v>
      </c>
    </row>
    <row r="289" spans="2:32" s="34" customFormat="1" ht="12.75">
      <c r="B289" s="40"/>
      <c r="C289" s="48"/>
      <c r="D289" s="48">
        <v>4110</v>
      </c>
      <c r="E289" s="49" t="s">
        <v>525</v>
      </c>
      <c r="F289" s="50">
        <v>44000</v>
      </c>
      <c r="G289" s="51"/>
      <c r="H289" s="51"/>
      <c r="I289" s="51"/>
      <c r="J289" s="51"/>
      <c r="K289" s="51"/>
      <c r="L289" s="51"/>
      <c r="M289" s="51"/>
      <c r="N289" s="51"/>
      <c r="O289" s="51">
        <v>4800</v>
      </c>
      <c r="P289" s="72">
        <v>-88</v>
      </c>
      <c r="Q289" s="52">
        <f t="shared" si="118"/>
        <v>48712</v>
      </c>
      <c r="R289" s="50">
        <v>3465.13</v>
      </c>
      <c r="S289" s="50">
        <v>6876.14</v>
      </c>
      <c r="T289" s="50">
        <v>3456.92</v>
      </c>
      <c r="U289" s="50">
        <v>3456.92</v>
      </c>
      <c r="V289" s="50">
        <v>3456.92</v>
      </c>
      <c r="W289" s="50">
        <v>3460.64</v>
      </c>
      <c r="X289" s="50">
        <v>3513.75</v>
      </c>
      <c r="Y289" s="50">
        <v>3401.61</v>
      </c>
      <c r="Z289" s="50">
        <v>3707.01</v>
      </c>
      <c r="AA289" s="50">
        <v>3558.31</v>
      </c>
      <c r="AB289" s="50">
        <v>5544.91</v>
      </c>
      <c r="AC289" s="50">
        <v>4813.99</v>
      </c>
      <c r="AD289" s="53">
        <f t="shared" si="119"/>
        <v>48712.24999999999</v>
      </c>
      <c r="AE289" s="50">
        <f t="shared" si="120"/>
        <v>-0.24999999999272404</v>
      </c>
      <c r="AF289" s="616">
        <f t="shared" si="113"/>
        <v>100.00051322056164</v>
      </c>
    </row>
    <row r="290" spans="2:32" s="34" customFormat="1" ht="12.75">
      <c r="B290" s="40"/>
      <c r="C290" s="48"/>
      <c r="D290" s="48">
        <v>4120</v>
      </c>
      <c r="E290" s="49" t="s">
        <v>696</v>
      </c>
      <c r="F290" s="50">
        <v>6000</v>
      </c>
      <c r="G290" s="51"/>
      <c r="H290" s="51"/>
      <c r="I290" s="51"/>
      <c r="J290" s="51"/>
      <c r="K290" s="51"/>
      <c r="L290" s="51"/>
      <c r="M290" s="51"/>
      <c r="N290" s="51"/>
      <c r="O290" s="51">
        <v>610</v>
      </c>
      <c r="P290" s="72">
        <v>-2</v>
      </c>
      <c r="Q290" s="52">
        <f t="shared" si="118"/>
        <v>6608</v>
      </c>
      <c r="R290" s="50">
        <v>470.07</v>
      </c>
      <c r="S290" s="50">
        <v>932.81</v>
      </c>
      <c r="T290" s="50">
        <v>468.96</v>
      </c>
      <c r="U290" s="50">
        <v>468.96</v>
      </c>
      <c r="V290" s="50">
        <v>468.96</v>
      </c>
      <c r="W290" s="50">
        <v>469.47</v>
      </c>
      <c r="X290" s="50">
        <v>476.67</v>
      </c>
      <c r="Y290" s="50">
        <v>461.46</v>
      </c>
      <c r="Z290" s="50">
        <v>502.89</v>
      </c>
      <c r="AA290" s="50">
        <v>482.72</v>
      </c>
      <c r="AB290" s="50">
        <v>752.22</v>
      </c>
      <c r="AC290" s="50">
        <v>653.06</v>
      </c>
      <c r="AD290" s="53">
        <f t="shared" si="119"/>
        <v>6608.25</v>
      </c>
      <c r="AE290" s="50">
        <f t="shared" si="120"/>
        <v>-0.25</v>
      </c>
      <c r="AF290" s="616">
        <f t="shared" si="113"/>
        <v>100.00378329297821</v>
      </c>
    </row>
    <row r="291" spans="2:32" s="34" customFormat="1" ht="18" customHeight="1">
      <c r="B291" s="40"/>
      <c r="C291" s="48"/>
      <c r="D291" s="48">
        <v>4170</v>
      </c>
      <c r="E291" s="49" t="s">
        <v>533</v>
      </c>
      <c r="F291" s="50">
        <v>8000</v>
      </c>
      <c r="G291" s="51"/>
      <c r="H291" s="51"/>
      <c r="I291" s="51"/>
      <c r="J291" s="51"/>
      <c r="K291" s="51"/>
      <c r="L291" s="51"/>
      <c r="M291" s="51"/>
      <c r="N291" s="72">
        <v>-4000</v>
      </c>
      <c r="O291" s="72">
        <v>-1000</v>
      </c>
      <c r="P291" s="72">
        <v>-239</v>
      </c>
      <c r="Q291" s="52">
        <f t="shared" si="118"/>
        <v>2761</v>
      </c>
      <c r="R291" s="50"/>
      <c r="S291" s="50"/>
      <c r="T291" s="50"/>
      <c r="U291" s="50">
        <v>655.2</v>
      </c>
      <c r="V291" s="50">
        <v>64.8</v>
      </c>
      <c r="W291" s="50">
        <v>655.2</v>
      </c>
      <c r="X291" s="50">
        <v>64.8</v>
      </c>
      <c r="Y291" s="50"/>
      <c r="Z291" s="50">
        <v>655.2</v>
      </c>
      <c r="AA291" s="50">
        <v>64.8</v>
      </c>
      <c r="AB291" s="50"/>
      <c r="AC291" s="50">
        <v>601.2</v>
      </c>
      <c r="AD291" s="53">
        <f t="shared" si="119"/>
        <v>2761.2</v>
      </c>
      <c r="AE291" s="50">
        <f t="shared" si="120"/>
        <v>-0.1999999999998181</v>
      </c>
      <c r="AF291" s="616">
        <f t="shared" si="113"/>
        <v>100.00724375226368</v>
      </c>
    </row>
    <row r="292" spans="2:32" s="34" customFormat="1" ht="12.75">
      <c r="B292" s="40"/>
      <c r="C292" s="48"/>
      <c r="D292" s="48">
        <v>4210</v>
      </c>
      <c r="E292" s="49" t="s">
        <v>1201</v>
      </c>
      <c r="F292" s="50">
        <v>10000</v>
      </c>
      <c r="G292" s="72">
        <v>-5000</v>
      </c>
      <c r="H292" s="51"/>
      <c r="I292" s="51"/>
      <c r="J292" s="51"/>
      <c r="K292" s="51"/>
      <c r="L292" s="51"/>
      <c r="M292" s="51"/>
      <c r="N292" s="51">
        <v>4955</v>
      </c>
      <c r="O292" s="51"/>
      <c r="P292" s="51">
        <v>1846</v>
      </c>
      <c r="Q292" s="52">
        <f t="shared" si="118"/>
        <v>11801</v>
      </c>
      <c r="R292" s="50">
        <v>504.34</v>
      </c>
      <c r="S292" s="50"/>
      <c r="T292" s="50">
        <v>337.24</v>
      </c>
      <c r="U292" s="50">
        <v>636.44</v>
      </c>
      <c r="V292" s="50">
        <v>1639.86</v>
      </c>
      <c r="W292" s="50">
        <v>244</v>
      </c>
      <c r="X292" s="50"/>
      <c r="Y292" s="50">
        <v>335.65</v>
      </c>
      <c r="Z292" s="50">
        <v>189.49</v>
      </c>
      <c r="AA292" s="50">
        <v>33</v>
      </c>
      <c r="AB292" s="50">
        <v>4872.7</v>
      </c>
      <c r="AC292" s="50">
        <v>3008.7</v>
      </c>
      <c r="AD292" s="53">
        <f t="shared" si="119"/>
        <v>11801.420000000002</v>
      </c>
      <c r="AE292" s="50">
        <f t="shared" si="120"/>
        <v>-0.42000000000189175</v>
      </c>
      <c r="AF292" s="616">
        <f t="shared" si="113"/>
        <v>100.00355902042202</v>
      </c>
    </row>
    <row r="293" spans="2:32" s="34" customFormat="1" ht="15.75" customHeight="1">
      <c r="B293" s="40"/>
      <c r="C293" s="48"/>
      <c r="D293" s="48">
        <v>4260</v>
      </c>
      <c r="E293" s="49" t="s">
        <v>527</v>
      </c>
      <c r="F293" s="50">
        <v>8300</v>
      </c>
      <c r="G293" s="51"/>
      <c r="H293" s="51"/>
      <c r="I293" s="51"/>
      <c r="J293" s="51"/>
      <c r="K293" s="51"/>
      <c r="L293" s="51"/>
      <c r="M293" s="51"/>
      <c r="N293" s="51"/>
      <c r="O293" s="51">
        <v>1200</v>
      </c>
      <c r="P293" s="72">
        <v>-90</v>
      </c>
      <c r="Q293" s="52">
        <f t="shared" si="118"/>
        <v>9410</v>
      </c>
      <c r="R293" s="50">
        <v>353.23</v>
      </c>
      <c r="S293" s="50">
        <v>2137.7</v>
      </c>
      <c r="T293" s="50">
        <v>553.91</v>
      </c>
      <c r="U293" s="50">
        <v>846.78</v>
      </c>
      <c r="V293" s="50">
        <v>549.33</v>
      </c>
      <c r="W293" s="50">
        <v>802.96</v>
      </c>
      <c r="X293" s="50">
        <v>555.36</v>
      </c>
      <c r="Y293" s="50">
        <v>820.5</v>
      </c>
      <c r="Z293" s="50">
        <v>549.7</v>
      </c>
      <c r="AA293" s="50">
        <v>819.77</v>
      </c>
      <c r="AB293" s="50">
        <v>555.36</v>
      </c>
      <c r="AC293" s="50">
        <v>865.04</v>
      </c>
      <c r="AD293" s="53">
        <f t="shared" si="119"/>
        <v>9409.64</v>
      </c>
      <c r="AE293" s="50">
        <f t="shared" si="120"/>
        <v>0.3600000000005821</v>
      </c>
      <c r="AF293" s="616">
        <f t="shared" si="113"/>
        <v>99.996174282678</v>
      </c>
    </row>
    <row r="294" spans="2:32" s="34" customFormat="1" ht="12.75">
      <c r="B294" s="40"/>
      <c r="C294" s="48"/>
      <c r="D294" s="48">
        <v>4270</v>
      </c>
      <c r="E294" s="49" t="s">
        <v>499</v>
      </c>
      <c r="F294" s="50">
        <v>2000</v>
      </c>
      <c r="G294" s="51"/>
      <c r="H294" s="51"/>
      <c r="I294" s="51"/>
      <c r="J294" s="51"/>
      <c r="K294" s="51"/>
      <c r="L294" s="51"/>
      <c r="M294" s="51"/>
      <c r="N294" s="51"/>
      <c r="O294" s="51"/>
      <c r="P294" s="51">
        <v>2343</v>
      </c>
      <c r="Q294" s="52">
        <f t="shared" si="118"/>
        <v>4343</v>
      </c>
      <c r="R294" s="50">
        <v>244</v>
      </c>
      <c r="S294" s="50"/>
      <c r="T294" s="50">
        <v>122</v>
      </c>
      <c r="U294" s="50">
        <v>-244</v>
      </c>
      <c r="V294" s="50">
        <v>280.6</v>
      </c>
      <c r="W294" s="50">
        <v>244</v>
      </c>
      <c r="X294" s="50"/>
      <c r="Y294" s="50"/>
      <c r="Z294" s="50">
        <v>146.4</v>
      </c>
      <c r="AA294" s="50"/>
      <c r="AB294" s="50"/>
      <c r="AC294" s="50">
        <v>3550.2</v>
      </c>
      <c r="AD294" s="53">
        <f t="shared" si="119"/>
        <v>4343.2</v>
      </c>
      <c r="AE294" s="50">
        <f t="shared" si="120"/>
        <v>-0.1999999999998181</v>
      </c>
      <c r="AF294" s="616">
        <f t="shared" si="113"/>
        <v>100.00460511167395</v>
      </c>
    </row>
    <row r="295" spans="2:32" s="34" customFormat="1" ht="12.75">
      <c r="B295" s="40"/>
      <c r="C295" s="48"/>
      <c r="D295" s="48">
        <v>4280</v>
      </c>
      <c r="E295" s="49" t="s">
        <v>534</v>
      </c>
      <c r="F295" s="50">
        <v>1000</v>
      </c>
      <c r="G295" s="51"/>
      <c r="H295" s="51"/>
      <c r="I295" s="51"/>
      <c r="J295" s="51">
        <v>2500</v>
      </c>
      <c r="K295" s="51"/>
      <c r="L295" s="51"/>
      <c r="M295" s="51"/>
      <c r="N295" s="51"/>
      <c r="O295" s="51"/>
      <c r="P295" s="72">
        <v>-65</v>
      </c>
      <c r="Q295" s="52">
        <f t="shared" si="118"/>
        <v>3435</v>
      </c>
      <c r="R295" s="50"/>
      <c r="S295" s="50"/>
      <c r="T295" s="50"/>
      <c r="U295" s="50"/>
      <c r="V295" s="50">
        <v>120</v>
      </c>
      <c r="W295" s="50">
        <v>841</v>
      </c>
      <c r="X295" s="50">
        <v>1590</v>
      </c>
      <c r="Y295" s="50">
        <v>769</v>
      </c>
      <c r="Z295" s="50">
        <v>115</v>
      </c>
      <c r="AA295" s="50"/>
      <c r="AB295" s="50"/>
      <c r="AC295" s="50"/>
      <c r="AD295" s="53">
        <f t="shared" si="119"/>
        <v>3435</v>
      </c>
      <c r="AE295" s="50">
        <f t="shared" si="120"/>
        <v>0</v>
      </c>
      <c r="AF295" s="616">
        <f t="shared" si="113"/>
        <v>100</v>
      </c>
    </row>
    <row r="296" spans="2:32" s="34" customFormat="1" ht="12.75">
      <c r="B296" s="40"/>
      <c r="C296" s="48"/>
      <c r="D296" s="48">
        <v>4300</v>
      </c>
      <c r="E296" s="49" t="s">
        <v>1203</v>
      </c>
      <c r="F296" s="50">
        <v>22800</v>
      </c>
      <c r="G296" s="51"/>
      <c r="H296" s="51"/>
      <c r="I296" s="51"/>
      <c r="J296" s="72">
        <v>-8845</v>
      </c>
      <c r="K296" s="51"/>
      <c r="L296" s="51"/>
      <c r="M296" s="51"/>
      <c r="N296" s="72">
        <v>-4955</v>
      </c>
      <c r="O296" s="51">
        <v>1191</v>
      </c>
      <c r="P296" s="51">
        <v>356</v>
      </c>
      <c r="Q296" s="52">
        <f t="shared" si="118"/>
        <v>10547</v>
      </c>
      <c r="R296" s="50">
        <v>1248.53</v>
      </c>
      <c r="S296" s="50">
        <v>1084.89</v>
      </c>
      <c r="T296" s="50">
        <v>2257.69</v>
      </c>
      <c r="U296" s="50">
        <v>1800.35</v>
      </c>
      <c r="V296" s="50">
        <v>1104.73</v>
      </c>
      <c r="W296" s="72">
        <v>-2829.42</v>
      </c>
      <c r="X296" s="50">
        <v>272.37</v>
      </c>
      <c r="Y296" s="50">
        <v>303.96</v>
      </c>
      <c r="Z296" s="50">
        <v>375.75</v>
      </c>
      <c r="AA296" s="50">
        <v>1905.32</v>
      </c>
      <c r="AB296" s="50">
        <v>1250.31</v>
      </c>
      <c r="AC296" s="50">
        <v>1772.84</v>
      </c>
      <c r="AD296" s="53">
        <f t="shared" si="119"/>
        <v>10547.32</v>
      </c>
      <c r="AE296" s="50">
        <f t="shared" si="120"/>
        <v>-0.31999999999970896</v>
      </c>
      <c r="AF296" s="616">
        <f t="shared" si="113"/>
        <v>100.0030340381151</v>
      </c>
    </row>
    <row r="297" spans="2:32" s="34" customFormat="1" ht="12.75">
      <c r="B297" s="40"/>
      <c r="C297" s="48"/>
      <c r="D297" s="48">
        <v>4350</v>
      </c>
      <c r="E297" s="49" t="s">
        <v>535</v>
      </c>
      <c r="F297" s="50">
        <v>1000</v>
      </c>
      <c r="G297" s="51"/>
      <c r="H297" s="51"/>
      <c r="I297" s="51"/>
      <c r="J297" s="51"/>
      <c r="K297" s="51"/>
      <c r="L297" s="51"/>
      <c r="M297" s="51"/>
      <c r="N297" s="51"/>
      <c r="O297" s="72">
        <v>-439</v>
      </c>
      <c r="P297" s="72"/>
      <c r="Q297" s="52">
        <f t="shared" si="118"/>
        <v>561</v>
      </c>
      <c r="R297" s="50">
        <v>33</v>
      </c>
      <c r="S297" s="50">
        <v>33</v>
      </c>
      <c r="T297" s="50">
        <v>33</v>
      </c>
      <c r="U297" s="50">
        <v>33</v>
      </c>
      <c r="V297" s="50">
        <v>33</v>
      </c>
      <c r="W297" s="50">
        <v>33</v>
      </c>
      <c r="X297" s="50">
        <v>33</v>
      </c>
      <c r="Y297" s="50">
        <v>66</v>
      </c>
      <c r="Z297" s="50">
        <v>66</v>
      </c>
      <c r="AA297" s="50">
        <v>66</v>
      </c>
      <c r="AB297" s="50">
        <v>66</v>
      </c>
      <c r="AC297" s="50">
        <v>66</v>
      </c>
      <c r="AD297" s="53">
        <f>SUM(R297:AC297)</f>
        <v>561</v>
      </c>
      <c r="AE297" s="50">
        <f>Q297-AD297</f>
        <v>0</v>
      </c>
      <c r="AF297" s="616">
        <f>AD297*100/Q297</f>
        <v>100</v>
      </c>
    </row>
    <row r="298" spans="2:32" s="34" customFormat="1" ht="25.5">
      <c r="B298" s="40"/>
      <c r="C298" s="48"/>
      <c r="D298" s="48">
        <v>4370</v>
      </c>
      <c r="E298" s="49" t="s">
        <v>537</v>
      </c>
      <c r="F298" s="50">
        <v>7800</v>
      </c>
      <c r="G298" s="51"/>
      <c r="H298" s="51"/>
      <c r="I298" s="51"/>
      <c r="J298" s="72">
        <v>-1500</v>
      </c>
      <c r="K298" s="51"/>
      <c r="L298" s="51"/>
      <c r="M298" s="51"/>
      <c r="N298" s="51"/>
      <c r="O298" s="51"/>
      <c r="P298" s="72">
        <v>-530</v>
      </c>
      <c r="Q298" s="52">
        <f t="shared" si="118"/>
        <v>5770</v>
      </c>
      <c r="R298" s="50">
        <v>454.57</v>
      </c>
      <c r="S298" s="50">
        <v>438.93</v>
      </c>
      <c r="T298" s="50">
        <v>422.52</v>
      </c>
      <c r="U298" s="50">
        <v>465.61</v>
      </c>
      <c r="V298" s="50">
        <v>443.39</v>
      </c>
      <c r="W298" s="50">
        <v>554.7</v>
      </c>
      <c r="X298" s="50">
        <v>546.21</v>
      </c>
      <c r="Y298" s="50">
        <v>540.41</v>
      </c>
      <c r="Z298" s="50">
        <v>558.87</v>
      </c>
      <c r="AA298" s="50">
        <v>432.57</v>
      </c>
      <c r="AB298" s="50">
        <v>477.57</v>
      </c>
      <c r="AC298" s="50">
        <v>435.08</v>
      </c>
      <c r="AD298" s="53">
        <f>SUM(R298:AC298)</f>
        <v>5770.429999999999</v>
      </c>
      <c r="AE298" s="50">
        <f>Q298-AD298</f>
        <v>-0.42999999999938154</v>
      </c>
      <c r="AF298" s="616">
        <f>AD298*100/Q298</f>
        <v>100.00745233968802</v>
      </c>
    </row>
    <row r="299" spans="2:32" s="34" customFormat="1" ht="12.75">
      <c r="B299" s="40"/>
      <c r="C299" s="48"/>
      <c r="D299" s="48">
        <v>4400</v>
      </c>
      <c r="E299" s="49" t="s">
        <v>697</v>
      </c>
      <c r="F299" s="50"/>
      <c r="G299" s="51"/>
      <c r="H299" s="51"/>
      <c r="I299" s="51"/>
      <c r="J299" s="51">
        <v>9000</v>
      </c>
      <c r="K299" s="51"/>
      <c r="L299" s="51"/>
      <c r="M299" s="51"/>
      <c r="N299" s="51"/>
      <c r="O299" s="72">
        <v>-662</v>
      </c>
      <c r="P299" s="72"/>
      <c r="Q299" s="52">
        <f t="shared" si="118"/>
        <v>8338</v>
      </c>
      <c r="R299" s="50"/>
      <c r="S299" s="50"/>
      <c r="T299" s="50"/>
      <c r="U299" s="50"/>
      <c r="V299" s="50"/>
      <c r="W299" s="50">
        <v>4002.06</v>
      </c>
      <c r="X299" s="50">
        <v>667.01</v>
      </c>
      <c r="Y299" s="50">
        <v>733.71</v>
      </c>
      <c r="Z299" s="50">
        <v>733.71</v>
      </c>
      <c r="AA299" s="50">
        <v>733.71</v>
      </c>
      <c r="AB299" s="50">
        <v>733.71</v>
      </c>
      <c r="AC299" s="50">
        <v>733.71</v>
      </c>
      <c r="AD299" s="53">
        <f>SUM(R299:AC299)</f>
        <v>8337.619999999999</v>
      </c>
      <c r="AE299" s="50">
        <f>Q299-AD299</f>
        <v>0.38000000000101863</v>
      </c>
      <c r="AF299" s="616">
        <f>AD299*100/Q299</f>
        <v>99.99544255217077</v>
      </c>
    </row>
    <row r="300" spans="2:32" s="34" customFormat="1" ht="15.75" customHeight="1">
      <c r="B300" s="40"/>
      <c r="C300" s="48"/>
      <c r="D300" s="48">
        <v>4410</v>
      </c>
      <c r="E300" s="49" t="s">
        <v>528</v>
      </c>
      <c r="F300" s="50">
        <v>9000</v>
      </c>
      <c r="G300" s="51"/>
      <c r="H300" s="51"/>
      <c r="I300" s="51"/>
      <c r="J300" s="72">
        <v>-1000</v>
      </c>
      <c r="K300" s="51"/>
      <c r="L300" s="51"/>
      <c r="M300" s="51"/>
      <c r="N300" s="51"/>
      <c r="O300" s="72">
        <v>-1000</v>
      </c>
      <c r="P300" s="51">
        <v>264</v>
      </c>
      <c r="Q300" s="52">
        <f t="shared" si="118"/>
        <v>7264</v>
      </c>
      <c r="R300" s="50">
        <v>653.76</v>
      </c>
      <c r="S300" s="50">
        <v>760.59</v>
      </c>
      <c r="T300" s="50">
        <v>499.69</v>
      </c>
      <c r="U300" s="50">
        <v>804.49</v>
      </c>
      <c r="V300" s="50">
        <v>510.91</v>
      </c>
      <c r="W300" s="50">
        <v>474.11</v>
      </c>
      <c r="X300" s="50">
        <v>492.55</v>
      </c>
      <c r="Y300" s="50">
        <v>566.97</v>
      </c>
      <c r="Z300" s="50">
        <v>360.42</v>
      </c>
      <c r="AA300" s="50">
        <v>592.87</v>
      </c>
      <c r="AB300" s="50">
        <v>628.82</v>
      </c>
      <c r="AC300" s="50">
        <v>918.78</v>
      </c>
      <c r="AD300" s="53">
        <f t="shared" si="119"/>
        <v>7263.959999999999</v>
      </c>
      <c r="AE300" s="50">
        <f t="shared" si="120"/>
        <v>0.040000000000873115</v>
      </c>
      <c r="AF300" s="616">
        <f t="shared" si="113"/>
        <v>99.99944933920703</v>
      </c>
    </row>
    <row r="301" spans="2:32" s="34" customFormat="1" ht="12.75">
      <c r="B301" s="40"/>
      <c r="C301" s="48"/>
      <c r="D301" s="48">
        <v>4430</v>
      </c>
      <c r="E301" s="49" t="s">
        <v>1210</v>
      </c>
      <c r="F301" s="50">
        <v>1000</v>
      </c>
      <c r="G301" s="51"/>
      <c r="H301" s="51"/>
      <c r="I301" s="51"/>
      <c r="J301" s="51"/>
      <c r="K301" s="51"/>
      <c r="L301" s="51"/>
      <c r="M301" s="51"/>
      <c r="N301" s="51"/>
      <c r="O301" s="51"/>
      <c r="P301" s="72">
        <v>-659</v>
      </c>
      <c r="Q301" s="52">
        <f t="shared" si="118"/>
        <v>341</v>
      </c>
      <c r="R301" s="50"/>
      <c r="S301" s="50"/>
      <c r="T301" s="50"/>
      <c r="U301" s="50"/>
      <c r="V301" s="50"/>
      <c r="W301" s="50"/>
      <c r="X301" s="50"/>
      <c r="Y301" s="50"/>
      <c r="Z301" s="50">
        <v>75</v>
      </c>
      <c r="AA301" s="50">
        <v>244</v>
      </c>
      <c r="AB301" s="50"/>
      <c r="AC301" s="50">
        <v>21.5</v>
      </c>
      <c r="AD301" s="53">
        <f t="shared" si="119"/>
        <v>340.5</v>
      </c>
      <c r="AE301" s="50">
        <f t="shared" si="120"/>
        <v>0.5</v>
      </c>
      <c r="AF301" s="616">
        <f t="shared" si="113"/>
        <v>99.8533724340176</v>
      </c>
    </row>
    <row r="302" spans="2:32" s="34" customFormat="1" ht="18" customHeight="1">
      <c r="B302" s="40"/>
      <c r="C302" s="48"/>
      <c r="D302" s="48">
        <v>4440</v>
      </c>
      <c r="E302" s="49" t="s">
        <v>538</v>
      </c>
      <c r="F302" s="50">
        <v>7600</v>
      </c>
      <c r="G302" s="51"/>
      <c r="H302" s="51"/>
      <c r="I302" s="51"/>
      <c r="J302" s="51">
        <v>312</v>
      </c>
      <c r="K302" s="51"/>
      <c r="L302" s="51"/>
      <c r="M302" s="51"/>
      <c r="N302" s="51"/>
      <c r="O302" s="51"/>
      <c r="P302" s="51"/>
      <c r="Q302" s="52">
        <f t="shared" si="118"/>
        <v>7912</v>
      </c>
      <c r="R302" s="50"/>
      <c r="S302" s="50"/>
      <c r="T302" s="50"/>
      <c r="U302" s="50"/>
      <c r="V302" s="50">
        <v>7600</v>
      </c>
      <c r="W302" s="50"/>
      <c r="X302" s="50"/>
      <c r="Y302" s="50"/>
      <c r="Z302" s="50">
        <v>312</v>
      </c>
      <c r="AA302" s="50"/>
      <c r="AB302" s="50"/>
      <c r="AC302" s="50"/>
      <c r="AD302" s="53">
        <f t="shared" si="119"/>
        <v>7912</v>
      </c>
      <c r="AE302" s="50">
        <f t="shared" si="120"/>
        <v>0</v>
      </c>
      <c r="AF302" s="616">
        <f t="shared" si="113"/>
        <v>100</v>
      </c>
    </row>
    <row r="303" spans="2:32" s="34" customFormat="1" ht="25.5">
      <c r="B303" s="40"/>
      <c r="C303" s="48"/>
      <c r="D303" s="48">
        <v>4740</v>
      </c>
      <c r="E303" s="49" t="s">
        <v>497</v>
      </c>
      <c r="F303" s="50"/>
      <c r="G303" s="51">
        <v>2500</v>
      </c>
      <c r="H303" s="51"/>
      <c r="I303" s="51"/>
      <c r="J303" s="51"/>
      <c r="K303" s="51"/>
      <c r="L303" s="51"/>
      <c r="M303" s="51"/>
      <c r="N303" s="51"/>
      <c r="O303" s="51"/>
      <c r="P303" s="72">
        <v>-1745</v>
      </c>
      <c r="Q303" s="52">
        <f t="shared" si="118"/>
        <v>755</v>
      </c>
      <c r="R303" s="50"/>
      <c r="S303" s="50"/>
      <c r="T303" s="50"/>
      <c r="U303" s="50"/>
      <c r="V303" s="50"/>
      <c r="W303" s="50"/>
      <c r="X303" s="50">
        <v>93.56</v>
      </c>
      <c r="Y303" s="50"/>
      <c r="Z303" s="50"/>
      <c r="AA303" s="50"/>
      <c r="AB303" s="50">
        <v>661.51</v>
      </c>
      <c r="AC303" s="50"/>
      <c r="AD303" s="53">
        <f t="shared" si="119"/>
        <v>755.0699999999999</v>
      </c>
      <c r="AE303" s="50">
        <f t="shared" si="120"/>
        <v>-0.06999999999993634</v>
      </c>
      <c r="AF303" s="616">
        <f t="shared" si="113"/>
        <v>100.00927152317881</v>
      </c>
    </row>
    <row r="304" spans="2:32" s="34" customFormat="1" ht="25.5">
      <c r="B304" s="40"/>
      <c r="C304" s="48"/>
      <c r="D304" s="48">
        <v>4750</v>
      </c>
      <c r="E304" s="49" t="s">
        <v>498</v>
      </c>
      <c r="F304" s="50"/>
      <c r="G304" s="51">
        <v>2500</v>
      </c>
      <c r="H304" s="51"/>
      <c r="I304" s="51"/>
      <c r="J304" s="51"/>
      <c r="K304" s="51"/>
      <c r="L304" s="51"/>
      <c r="M304" s="51"/>
      <c r="N304" s="51"/>
      <c r="O304" s="51"/>
      <c r="P304" s="51">
        <v>90</v>
      </c>
      <c r="Q304" s="52">
        <f t="shared" si="118"/>
        <v>2590</v>
      </c>
      <c r="R304" s="50"/>
      <c r="S304" s="50"/>
      <c r="T304" s="50"/>
      <c r="U304" s="50"/>
      <c r="V304" s="50">
        <v>305</v>
      </c>
      <c r="W304" s="50"/>
      <c r="X304" s="50"/>
      <c r="Y304" s="50"/>
      <c r="Z304" s="50">
        <v>1345.36</v>
      </c>
      <c r="AA304" s="50"/>
      <c r="AB304" s="50"/>
      <c r="AC304" s="50">
        <v>939.4</v>
      </c>
      <c r="AD304" s="53">
        <f t="shared" si="119"/>
        <v>2589.7599999999998</v>
      </c>
      <c r="AE304" s="50">
        <f t="shared" si="120"/>
        <v>0.24000000000023647</v>
      </c>
      <c r="AF304" s="616">
        <f t="shared" si="113"/>
        <v>99.99073359073358</v>
      </c>
    </row>
    <row r="305" spans="2:32" s="34" customFormat="1" ht="25.5">
      <c r="B305" s="40"/>
      <c r="C305" s="48"/>
      <c r="D305" s="48">
        <v>6060</v>
      </c>
      <c r="E305" s="49" t="s">
        <v>396</v>
      </c>
      <c r="F305" s="50"/>
      <c r="G305" s="51"/>
      <c r="H305" s="51"/>
      <c r="I305" s="51"/>
      <c r="J305" s="51"/>
      <c r="K305" s="51"/>
      <c r="L305" s="51"/>
      <c r="M305" s="51"/>
      <c r="N305" s="51">
        <v>4000</v>
      </c>
      <c r="O305" s="51"/>
      <c r="P305" s="51">
        <v>2930</v>
      </c>
      <c r="Q305" s="52">
        <f t="shared" si="118"/>
        <v>6930</v>
      </c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>
        <v>6929.6</v>
      </c>
      <c r="AD305" s="53">
        <f t="shared" si="119"/>
        <v>6929.6</v>
      </c>
      <c r="AE305" s="50">
        <f t="shared" si="120"/>
        <v>0.3999999999996362</v>
      </c>
      <c r="AF305" s="616">
        <f t="shared" si="113"/>
        <v>99.994227994228</v>
      </c>
    </row>
    <row r="306" spans="2:32" s="34" customFormat="1" ht="25.5">
      <c r="B306" s="40"/>
      <c r="C306" s="42">
        <v>85228</v>
      </c>
      <c r="D306" s="42"/>
      <c r="E306" s="43" t="s">
        <v>698</v>
      </c>
      <c r="F306" s="44">
        <f>F307</f>
        <v>15000</v>
      </c>
      <c r="G306" s="45">
        <f aca="true" t="shared" si="121" ref="G306:P306">G307</f>
        <v>0</v>
      </c>
      <c r="H306" s="45">
        <f t="shared" si="121"/>
        <v>0</v>
      </c>
      <c r="I306" s="45">
        <f t="shared" si="121"/>
        <v>0</v>
      </c>
      <c r="J306" s="45">
        <f t="shared" si="121"/>
        <v>0</v>
      </c>
      <c r="K306" s="45">
        <f t="shared" si="121"/>
        <v>0</v>
      </c>
      <c r="L306" s="45">
        <f t="shared" si="121"/>
        <v>0</v>
      </c>
      <c r="M306" s="45">
        <f t="shared" si="121"/>
        <v>0</v>
      </c>
      <c r="N306" s="45">
        <f t="shared" si="121"/>
        <v>0</v>
      </c>
      <c r="O306" s="70">
        <f t="shared" si="121"/>
        <v>-15000</v>
      </c>
      <c r="P306" s="45">
        <f t="shared" si="121"/>
        <v>0</v>
      </c>
      <c r="Q306" s="46">
        <f>SUM(Q307:Q307)</f>
        <v>0</v>
      </c>
      <c r="R306" s="44">
        <f>R307</f>
        <v>0</v>
      </c>
      <c r="S306" s="44">
        <f aca="true" t="shared" si="122" ref="S306:AC306">S307</f>
        <v>0</v>
      </c>
      <c r="T306" s="44">
        <f t="shared" si="122"/>
        <v>0</v>
      </c>
      <c r="U306" s="44">
        <f t="shared" si="122"/>
        <v>0</v>
      </c>
      <c r="V306" s="44">
        <f t="shared" si="122"/>
        <v>0</v>
      </c>
      <c r="W306" s="44">
        <f t="shared" si="122"/>
        <v>0</v>
      </c>
      <c r="X306" s="44">
        <f t="shared" si="122"/>
        <v>0</v>
      </c>
      <c r="Y306" s="44">
        <f t="shared" si="122"/>
        <v>0</v>
      </c>
      <c r="Z306" s="44">
        <f t="shared" si="122"/>
        <v>0</v>
      </c>
      <c r="AA306" s="44">
        <f t="shared" si="122"/>
        <v>0</v>
      </c>
      <c r="AB306" s="44">
        <f t="shared" si="122"/>
        <v>0</v>
      </c>
      <c r="AC306" s="44">
        <f t="shared" si="122"/>
        <v>0</v>
      </c>
      <c r="AD306" s="44">
        <f>SUM(AD307:AD307)</f>
        <v>0</v>
      </c>
      <c r="AE306" s="44">
        <f>SUM(AE307:AE307)</f>
        <v>0</v>
      </c>
      <c r="AF306" s="615">
        <v>0</v>
      </c>
    </row>
    <row r="307" spans="2:32" s="34" customFormat="1" ht="15.75" customHeight="1">
      <c r="B307" s="40"/>
      <c r="C307" s="48"/>
      <c r="D307" s="48">
        <v>4170</v>
      </c>
      <c r="E307" s="49" t="s">
        <v>533</v>
      </c>
      <c r="F307" s="50">
        <v>15000</v>
      </c>
      <c r="G307" s="51"/>
      <c r="H307" s="51"/>
      <c r="I307" s="51"/>
      <c r="J307" s="51"/>
      <c r="K307" s="51"/>
      <c r="L307" s="51"/>
      <c r="M307" s="51"/>
      <c r="N307" s="51"/>
      <c r="O307" s="72">
        <v>-15000</v>
      </c>
      <c r="P307" s="72"/>
      <c r="Q307" s="52">
        <f>F307+G307+H307+I307+J307+K307+L307+M307+N307+O307+P307</f>
        <v>0</v>
      </c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3">
        <f>SUM(R307:AC307)</f>
        <v>0</v>
      </c>
      <c r="AE307" s="50">
        <f>Q307-AD307</f>
        <v>0</v>
      </c>
      <c r="AF307" s="616">
        <v>0</v>
      </c>
    </row>
    <row r="308" spans="2:32" s="34" customFormat="1" ht="15" customHeight="1">
      <c r="B308" s="40"/>
      <c r="C308" s="42">
        <v>85295</v>
      </c>
      <c r="D308" s="42"/>
      <c r="E308" s="43" t="s">
        <v>99</v>
      </c>
      <c r="F308" s="44">
        <f>SUM(F309:F311)</f>
        <v>68000</v>
      </c>
      <c r="G308" s="45">
        <f aca="true" t="shared" si="123" ref="G308:AC308">SUM(G309:G311)</f>
        <v>0</v>
      </c>
      <c r="H308" s="45">
        <f t="shared" si="123"/>
        <v>0</v>
      </c>
      <c r="I308" s="45">
        <f t="shared" si="123"/>
        <v>0</v>
      </c>
      <c r="J308" s="45">
        <f t="shared" si="123"/>
        <v>12201</v>
      </c>
      <c r="K308" s="45">
        <f t="shared" si="123"/>
        <v>0</v>
      </c>
      <c r="L308" s="45">
        <f t="shared" si="123"/>
        <v>8341</v>
      </c>
      <c r="M308" s="45">
        <f t="shared" si="123"/>
        <v>0</v>
      </c>
      <c r="N308" s="45">
        <f t="shared" si="123"/>
        <v>0</v>
      </c>
      <c r="O308" s="45">
        <f t="shared" si="123"/>
        <v>4358</v>
      </c>
      <c r="P308" s="45">
        <f t="shared" si="123"/>
        <v>0</v>
      </c>
      <c r="Q308" s="46">
        <f t="shared" si="123"/>
        <v>92900</v>
      </c>
      <c r="R308" s="44">
        <f t="shared" si="123"/>
        <v>4950.75</v>
      </c>
      <c r="S308" s="44">
        <f t="shared" si="123"/>
        <v>7326.86</v>
      </c>
      <c r="T308" s="44">
        <f t="shared" si="123"/>
        <v>7698.66</v>
      </c>
      <c r="U308" s="44">
        <f t="shared" si="123"/>
        <v>13356.04</v>
      </c>
      <c r="V308" s="44">
        <f t="shared" si="123"/>
        <v>6763.11</v>
      </c>
      <c r="W308" s="44">
        <f t="shared" si="123"/>
        <v>4655.22</v>
      </c>
      <c r="X308" s="44">
        <f t="shared" si="123"/>
        <v>785.37</v>
      </c>
      <c r="Y308" s="44">
        <f t="shared" si="123"/>
        <v>1070</v>
      </c>
      <c r="Z308" s="44">
        <f t="shared" si="123"/>
        <v>5137.23</v>
      </c>
      <c r="AA308" s="44">
        <f t="shared" si="123"/>
        <v>6982.63</v>
      </c>
      <c r="AB308" s="44">
        <f t="shared" si="123"/>
        <v>6168.81</v>
      </c>
      <c r="AC308" s="44">
        <f t="shared" si="123"/>
        <v>8342.4</v>
      </c>
      <c r="AD308" s="44">
        <f>SUM(AD309:AD311)</f>
        <v>73237.08</v>
      </c>
      <c r="AE308" s="44">
        <f>SUM(AE309:AE311)</f>
        <v>19662.92</v>
      </c>
      <c r="AF308" s="621">
        <f t="shared" si="113"/>
        <v>78.83431646932185</v>
      </c>
    </row>
    <row r="309" spans="2:32" s="34" customFormat="1" ht="16.5" customHeight="1">
      <c r="B309" s="40"/>
      <c r="C309" s="42"/>
      <c r="D309" s="48">
        <v>3110</v>
      </c>
      <c r="E309" s="49" t="s">
        <v>578</v>
      </c>
      <c r="F309" s="53">
        <v>61000</v>
      </c>
      <c r="G309" s="55"/>
      <c r="H309" s="55"/>
      <c r="I309" s="55"/>
      <c r="J309" s="55">
        <v>12201</v>
      </c>
      <c r="K309" s="55"/>
      <c r="L309" s="55">
        <v>8341</v>
      </c>
      <c r="M309" s="55"/>
      <c r="N309" s="55"/>
      <c r="O309" s="55">
        <v>4358</v>
      </c>
      <c r="P309" s="55"/>
      <c r="Q309" s="52">
        <f>F309+G309+H309+I309+J309+K309+L309+M309+N309+O309+P309</f>
        <v>85900</v>
      </c>
      <c r="R309" s="53">
        <v>4950.75</v>
      </c>
      <c r="S309" s="53">
        <v>7326.86</v>
      </c>
      <c r="T309" s="53">
        <v>7698.66</v>
      </c>
      <c r="U309" s="53">
        <v>13356.04</v>
      </c>
      <c r="V309" s="53">
        <v>6763.11</v>
      </c>
      <c r="W309" s="53">
        <v>4655.22</v>
      </c>
      <c r="X309" s="53">
        <v>785.37</v>
      </c>
      <c r="Y309" s="53">
        <v>1070</v>
      </c>
      <c r="Z309" s="53">
        <v>5137.23</v>
      </c>
      <c r="AA309" s="53">
        <v>6982.63</v>
      </c>
      <c r="AB309" s="53">
        <v>6168.81</v>
      </c>
      <c r="AC309" s="53">
        <v>8342.4</v>
      </c>
      <c r="AD309" s="53">
        <f>SUM(R309:AC309)</f>
        <v>73237.08</v>
      </c>
      <c r="AE309" s="50">
        <f>Q309-AD309</f>
        <v>12662.919999999998</v>
      </c>
      <c r="AF309" s="616">
        <f t="shared" si="113"/>
        <v>85.25853317811409</v>
      </c>
    </row>
    <row r="310" spans="2:32" s="34" customFormat="1" ht="12.75">
      <c r="B310" s="40"/>
      <c r="C310" s="42"/>
      <c r="D310" s="48">
        <v>4210</v>
      </c>
      <c r="E310" s="49" t="s">
        <v>1201</v>
      </c>
      <c r="F310" s="53">
        <v>5000</v>
      </c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2">
        <f>F310+G310+H310+I310+J310+K310+L310+M310+N310+O310+P310</f>
        <v>5000</v>
      </c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>
        <f>SUM(R310:AC310)</f>
        <v>0</v>
      </c>
      <c r="AE310" s="50">
        <f>Q310-AD310</f>
        <v>5000</v>
      </c>
      <c r="AF310" s="616">
        <f>AD310*100/Q310</f>
        <v>0</v>
      </c>
    </row>
    <row r="311" spans="2:32" s="34" customFormat="1" ht="16.5" customHeight="1">
      <c r="B311" s="40"/>
      <c r="C311" s="42"/>
      <c r="D311" s="48">
        <v>4300</v>
      </c>
      <c r="E311" s="49" t="s">
        <v>1203</v>
      </c>
      <c r="F311" s="53">
        <v>2000</v>
      </c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2">
        <f>F311+G311+H311+I311+J311+K311+L311+M311+N311+O311+P311</f>
        <v>2000</v>
      </c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>
        <f>SUM(R311:AC311)</f>
        <v>0</v>
      </c>
      <c r="AE311" s="50">
        <f>Q311-AD311</f>
        <v>2000</v>
      </c>
      <c r="AF311" s="616">
        <f t="shared" si="113"/>
        <v>0</v>
      </c>
    </row>
    <row r="312" spans="2:32" s="34" customFormat="1" ht="12.75">
      <c r="B312" s="60">
        <v>854</v>
      </c>
      <c r="C312" s="61"/>
      <c r="D312" s="61"/>
      <c r="E312" s="62" t="s">
        <v>388</v>
      </c>
      <c r="F312" s="58">
        <f>F313</f>
        <v>23000</v>
      </c>
      <c r="G312" s="59">
        <f aca="true" t="shared" si="124" ref="G312:AB313">G313</f>
        <v>0</v>
      </c>
      <c r="H312" s="59">
        <f t="shared" si="124"/>
        <v>0</v>
      </c>
      <c r="I312" s="59">
        <f t="shared" si="124"/>
        <v>0</v>
      </c>
      <c r="J312" s="59">
        <f t="shared" si="124"/>
        <v>22419</v>
      </c>
      <c r="K312" s="59">
        <f t="shared" si="124"/>
        <v>0</v>
      </c>
      <c r="L312" s="59">
        <f t="shared" si="124"/>
        <v>0</v>
      </c>
      <c r="M312" s="59">
        <f t="shared" si="124"/>
        <v>65409</v>
      </c>
      <c r="N312" s="59">
        <f t="shared" si="124"/>
        <v>0</v>
      </c>
      <c r="O312" s="59">
        <f t="shared" si="124"/>
        <v>39929</v>
      </c>
      <c r="P312" s="59">
        <f t="shared" si="124"/>
        <v>5</v>
      </c>
      <c r="Q312" s="58">
        <f t="shared" si="124"/>
        <v>150762</v>
      </c>
      <c r="R312" s="58">
        <f t="shared" si="124"/>
        <v>240</v>
      </c>
      <c r="S312" s="58">
        <f t="shared" si="124"/>
        <v>0</v>
      </c>
      <c r="T312" s="58">
        <f t="shared" si="124"/>
        <v>0</v>
      </c>
      <c r="U312" s="58">
        <f t="shared" si="124"/>
        <v>0</v>
      </c>
      <c r="V312" s="58">
        <f t="shared" si="124"/>
        <v>0</v>
      </c>
      <c r="W312" s="58">
        <f t="shared" si="124"/>
        <v>15445.36</v>
      </c>
      <c r="X312" s="58">
        <f t="shared" si="124"/>
        <v>1089.5</v>
      </c>
      <c r="Y312" s="58">
        <f t="shared" si="124"/>
        <v>0</v>
      </c>
      <c r="Z312" s="58">
        <f t="shared" si="124"/>
        <v>0</v>
      </c>
      <c r="AA312" s="58">
        <f t="shared" si="124"/>
        <v>18575.45</v>
      </c>
      <c r="AB312" s="58">
        <f t="shared" si="124"/>
        <v>12641</v>
      </c>
      <c r="AC312" s="58">
        <f aca="true" t="shared" si="125" ref="AC312:AE313">AC313</f>
        <v>72188.76</v>
      </c>
      <c r="AD312" s="58">
        <f t="shared" si="125"/>
        <v>120180.06999999999</v>
      </c>
      <c r="AE312" s="58">
        <f t="shared" si="125"/>
        <v>30581.930000000008</v>
      </c>
      <c r="AF312" s="622">
        <f t="shared" si="113"/>
        <v>79.71509398920152</v>
      </c>
    </row>
    <row r="313" spans="2:32" s="34" customFormat="1" ht="12.75">
      <c r="B313" s="40"/>
      <c r="C313" s="42">
        <v>85415</v>
      </c>
      <c r="D313" s="81"/>
      <c r="E313" s="82" t="s">
        <v>1158</v>
      </c>
      <c r="F313" s="44">
        <f>F314</f>
        <v>23000</v>
      </c>
      <c r="G313" s="45">
        <f t="shared" si="124"/>
        <v>0</v>
      </c>
      <c r="H313" s="45">
        <f t="shared" si="124"/>
        <v>0</v>
      </c>
      <c r="I313" s="45">
        <f t="shared" si="124"/>
        <v>0</v>
      </c>
      <c r="J313" s="45">
        <f t="shared" si="124"/>
        <v>22419</v>
      </c>
      <c r="K313" s="45">
        <f t="shared" si="124"/>
        <v>0</v>
      </c>
      <c r="L313" s="45">
        <f t="shared" si="124"/>
        <v>0</v>
      </c>
      <c r="M313" s="45">
        <f t="shared" si="124"/>
        <v>65409</v>
      </c>
      <c r="N313" s="45">
        <f t="shared" si="124"/>
        <v>0</v>
      </c>
      <c r="O313" s="45">
        <f t="shared" si="124"/>
        <v>39929</v>
      </c>
      <c r="P313" s="45">
        <f t="shared" si="124"/>
        <v>5</v>
      </c>
      <c r="Q313" s="46">
        <f>Q314</f>
        <v>150762</v>
      </c>
      <c r="R313" s="44">
        <f t="shared" si="124"/>
        <v>240</v>
      </c>
      <c r="S313" s="44">
        <f t="shared" si="124"/>
        <v>0</v>
      </c>
      <c r="T313" s="44">
        <f t="shared" si="124"/>
        <v>0</v>
      </c>
      <c r="U313" s="44">
        <f t="shared" si="124"/>
        <v>0</v>
      </c>
      <c r="V313" s="44">
        <f t="shared" si="124"/>
        <v>0</v>
      </c>
      <c r="W313" s="44">
        <f t="shared" si="124"/>
        <v>15445.36</v>
      </c>
      <c r="X313" s="44">
        <f t="shared" si="124"/>
        <v>1089.5</v>
      </c>
      <c r="Y313" s="44">
        <f t="shared" si="124"/>
        <v>0</v>
      </c>
      <c r="Z313" s="44">
        <f t="shared" si="124"/>
        <v>0</v>
      </c>
      <c r="AA313" s="44">
        <f t="shared" si="124"/>
        <v>18575.45</v>
      </c>
      <c r="AB313" s="44">
        <f t="shared" si="124"/>
        <v>12641</v>
      </c>
      <c r="AC313" s="44">
        <f t="shared" si="125"/>
        <v>72188.76</v>
      </c>
      <c r="AD313" s="44">
        <f>AD314</f>
        <v>120180.06999999999</v>
      </c>
      <c r="AE313" s="44">
        <f>AE314</f>
        <v>30581.930000000008</v>
      </c>
      <c r="AF313" s="616">
        <f t="shared" si="113"/>
        <v>79.71509398920152</v>
      </c>
    </row>
    <row r="314" spans="2:32" s="34" customFormat="1" ht="12.75">
      <c r="B314" s="40"/>
      <c r="C314" s="42"/>
      <c r="D314" s="48">
        <v>3260</v>
      </c>
      <c r="E314" s="49" t="s">
        <v>583</v>
      </c>
      <c r="F314" s="53">
        <v>23000</v>
      </c>
      <c r="G314" s="55"/>
      <c r="H314" s="55"/>
      <c r="I314" s="55"/>
      <c r="J314" s="55">
        <f>22419</f>
        <v>22419</v>
      </c>
      <c r="K314" s="55"/>
      <c r="L314" s="55"/>
      <c r="M314" s="55">
        <f>9409+56000</f>
        <v>65409</v>
      </c>
      <c r="N314" s="55"/>
      <c r="O314" s="55">
        <f>523+287+2691+12428+24000</f>
        <v>39929</v>
      </c>
      <c r="P314" s="55">
        <v>5</v>
      </c>
      <c r="Q314" s="52">
        <f>F314+G314+H314+I314+J314+K314+L314+M314+N314+O314+P314</f>
        <v>150762</v>
      </c>
      <c r="R314" s="53">
        <v>240</v>
      </c>
      <c r="S314" s="53"/>
      <c r="T314" s="53"/>
      <c r="U314" s="53"/>
      <c r="V314" s="53"/>
      <c r="W314" s="53">
        <v>15445.36</v>
      </c>
      <c r="X314" s="53">
        <v>1089.5</v>
      </c>
      <c r="Y314" s="53"/>
      <c r="Z314" s="53"/>
      <c r="AA314" s="53">
        <v>18575.45</v>
      </c>
      <c r="AB314" s="53">
        <v>12641</v>
      </c>
      <c r="AC314" s="53">
        <f>13205.38+58983.38</f>
        <v>72188.76</v>
      </c>
      <c r="AD314" s="53">
        <f>SUM(R314:AC314)</f>
        <v>120180.06999999999</v>
      </c>
      <c r="AE314" s="50">
        <f>Q314-AD314</f>
        <v>30581.930000000008</v>
      </c>
      <c r="AF314" s="616">
        <f t="shared" si="113"/>
        <v>79.71509398920152</v>
      </c>
    </row>
    <row r="315" spans="2:32" s="34" customFormat="1" ht="12.75">
      <c r="B315" s="60">
        <v>900</v>
      </c>
      <c r="C315" s="61"/>
      <c r="D315" s="61"/>
      <c r="E315" s="62" t="s">
        <v>1159</v>
      </c>
      <c r="F315" s="58">
        <f>F318+F324+F316</f>
        <v>721600</v>
      </c>
      <c r="G315" s="59">
        <f aca="true" t="shared" si="126" ref="G315:AB315">G318+G324+G316</f>
        <v>51120</v>
      </c>
      <c r="H315" s="69">
        <f t="shared" si="126"/>
        <v>-297290</v>
      </c>
      <c r="I315" s="59">
        <f t="shared" si="126"/>
        <v>0</v>
      </c>
      <c r="J315" s="59">
        <f t="shared" si="126"/>
        <v>150000</v>
      </c>
      <c r="K315" s="59">
        <f t="shared" si="126"/>
        <v>70217</v>
      </c>
      <c r="L315" s="59">
        <f t="shared" si="126"/>
        <v>0</v>
      </c>
      <c r="M315" s="59">
        <f t="shared" si="126"/>
        <v>50000</v>
      </c>
      <c r="N315" s="59">
        <f t="shared" si="126"/>
        <v>0</v>
      </c>
      <c r="O315" s="59">
        <f t="shared" si="126"/>
        <v>0</v>
      </c>
      <c r="P315" s="69">
        <f t="shared" si="126"/>
        <v>-56649</v>
      </c>
      <c r="Q315" s="58">
        <f t="shared" si="126"/>
        <v>688998</v>
      </c>
      <c r="R315" s="58">
        <f t="shared" si="126"/>
        <v>14334.75</v>
      </c>
      <c r="S315" s="58">
        <f t="shared" si="126"/>
        <v>25010.1</v>
      </c>
      <c r="T315" s="58">
        <f>T318+T324+T316</f>
        <v>42859.38</v>
      </c>
      <c r="U315" s="58">
        <f t="shared" si="126"/>
        <v>27220.420000000006</v>
      </c>
      <c r="V315" s="58">
        <f t="shared" si="126"/>
        <v>79366.78</v>
      </c>
      <c r="W315" s="58">
        <f>W318+W324+W316</f>
        <v>30806.07</v>
      </c>
      <c r="X315" s="58">
        <f t="shared" si="126"/>
        <v>119198.20000000001</v>
      </c>
      <c r="Y315" s="58">
        <f t="shared" si="126"/>
        <v>63973.100000000006</v>
      </c>
      <c r="Z315" s="58">
        <f t="shared" si="126"/>
        <v>22840.45</v>
      </c>
      <c r="AA315" s="58">
        <f t="shared" si="126"/>
        <v>30630.71</v>
      </c>
      <c r="AB315" s="58">
        <f t="shared" si="126"/>
        <v>34226.24</v>
      </c>
      <c r="AC315" s="58">
        <f>AC318+AC324+AC316</f>
        <v>78453.55</v>
      </c>
      <c r="AD315" s="58">
        <f>AD318+AD324+AD316</f>
        <v>568919.75</v>
      </c>
      <c r="AE315" s="58">
        <f>AE318+AE324+AE316</f>
        <v>120078.24999999997</v>
      </c>
      <c r="AF315" s="614">
        <f t="shared" si="113"/>
        <v>82.57204665325588</v>
      </c>
    </row>
    <row r="316" spans="2:32" s="63" customFormat="1" ht="12.75">
      <c r="B316" s="618"/>
      <c r="C316" s="42">
        <v>90001</v>
      </c>
      <c r="D316" s="42"/>
      <c r="E316" s="43" t="s">
        <v>699</v>
      </c>
      <c r="F316" s="64">
        <f>F317</f>
        <v>285000</v>
      </c>
      <c r="G316" s="65">
        <f aca="true" t="shared" si="127" ref="G316:P316">G317</f>
        <v>5440</v>
      </c>
      <c r="H316" s="80">
        <f t="shared" si="127"/>
        <v>-290440</v>
      </c>
      <c r="I316" s="65">
        <f t="shared" si="127"/>
        <v>0</v>
      </c>
      <c r="J316" s="65">
        <f t="shared" si="127"/>
        <v>0</v>
      </c>
      <c r="K316" s="65">
        <f t="shared" si="127"/>
        <v>0</v>
      </c>
      <c r="L316" s="65">
        <f t="shared" si="127"/>
        <v>0</v>
      </c>
      <c r="M316" s="65">
        <f t="shared" si="127"/>
        <v>0</v>
      </c>
      <c r="N316" s="65">
        <f t="shared" si="127"/>
        <v>0</v>
      </c>
      <c r="O316" s="65">
        <f t="shared" si="127"/>
        <v>0</v>
      </c>
      <c r="P316" s="65">
        <f t="shared" si="127"/>
        <v>0</v>
      </c>
      <c r="Q316" s="46">
        <f>Q317</f>
        <v>0</v>
      </c>
      <c r="R316" s="64">
        <f>R317</f>
        <v>0</v>
      </c>
      <c r="S316" s="64">
        <f aca="true" t="shared" si="128" ref="S316:AC316">S317</f>
        <v>0</v>
      </c>
      <c r="T316" s="64">
        <f t="shared" si="128"/>
        <v>6827.1</v>
      </c>
      <c r="U316" s="80">
        <f t="shared" si="128"/>
        <v>-6827.1</v>
      </c>
      <c r="V316" s="64">
        <f t="shared" si="128"/>
        <v>0</v>
      </c>
      <c r="W316" s="64">
        <f t="shared" si="128"/>
        <v>0</v>
      </c>
      <c r="X316" s="64">
        <f t="shared" si="128"/>
        <v>0</v>
      </c>
      <c r="Y316" s="64">
        <f t="shared" si="128"/>
        <v>0</v>
      </c>
      <c r="Z316" s="64">
        <f t="shared" si="128"/>
        <v>0</v>
      </c>
      <c r="AA316" s="64">
        <f t="shared" si="128"/>
        <v>0</v>
      </c>
      <c r="AB316" s="64">
        <f t="shared" si="128"/>
        <v>0</v>
      </c>
      <c r="AC316" s="64">
        <f t="shared" si="128"/>
        <v>0</v>
      </c>
      <c r="AD316" s="64">
        <f>AD317</f>
        <v>0</v>
      </c>
      <c r="AE316" s="64">
        <f>AE317</f>
        <v>0</v>
      </c>
      <c r="AF316" s="615"/>
    </row>
    <row r="317" spans="2:32" s="63" customFormat="1" ht="12.75">
      <c r="B317" s="618"/>
      <c r="C317" s="74"/>
      <c r="D317" s="48">
        <v>6050</v>
      </c>
      <c r="E317" s="49" t="s">
        <v>1204</v>
      </c>
      <c r="F317" s="66">
        <f>125000+160000</f>
        <v>285000</v>
      </c>
      <c r="G317" s="67">
        <v>5440</v>
      </c>
      <c r="H317" s="68">
        <v>-290440</v>
      </c>
      <c r="I317" s="67"/>
      <c r="J317" s="67"/>
      <c r="K317" s="67"/>
      <c r="L317" s="67"/>
      <c r="M317" s="67"/>
      <c r="N317" s="67"/>
      <c r="O317" s="67"/>
      <c r="P317" s="67"/>
      <c r="Q317" s="52">
        <f>F317+G317+H317+I317+J317+K317+L317+M317+N317+O317+P317</f>
        <v>0</v>
      </c>
      <c r="R317" s="66"/>
      <c r="S317" s="66"/>
      <c r="T317" s="66">
        <v>6827.1</v>
      </c>
      <c r="U317" s="68">
        <v>-6827.1</v>
      </c>
      <c r="V317" s="66"/>
      <c r="W317" s="66"/>
      <c r="X317" s="66"/>
      <c r="Y317" s="66"/>
      <c r="Z317" s="66"/>
      <c r="AA317" s="66"/>
      <c r="AB317" s="66"/>
      <c r="AC317" s="66"/>
      <c r="AD317" s="53">
        <f>SUM(R317:AC317)</f>
        <v>0</v>
      </c>
      <c r="AE317" s="50">
        <f>Q317-AD317</f>
        <v>0</v>
      </c>
      <c r="AF317" s="616"/>
    </row>
    <row r="318" spans="2:32" s="34" customFormat="1" ht="12.75">
      <c r="B318" s="40"/>
      <c r="C318" s="42">
        <v>90015</v>
      </c>
      <c r="D318" s="42"/>
      <c r="E318" s="43" t="s">
        <v>700</v>
      </c>
      <c r="F318" s="44">
        <f>SUM(F319:F323)</f>
        <v>398500</v>
      </c>
      <c r="G318" s="45">
        <f aca="true" t="shared" si="129" ref="G318:AB318">SUM(G319:G323)</f>
        <v>20000</v>
      </c>
      <c r="H318" s="70">
        <f t="shared" si="129"/>
        <v>-6850</v>
      </c>
      <c r="I318" s="45">
        <f t="shared" si="129"/>
        <v>0</v>
      </c>
      <c r="J318" s="45">
        <f t="shared" si="129"/>
        <v>150000</v>
      </c>
      <c r="K318" s="45">
        <f t="shared" si="129"/>
        <v>40217</v>
      </c>
      <c r="L318" s="45">
        <f t="shared" si="129"/>
        <v>0</v>
      </c>
      <c r="M318" s="45">
        <f t="shared" si="129"/>
        <v>50000</v>
      </c>
      <c r="N318" s="45">
        <f t="shared" si="129"/>
        <v>0</v>
      </c>
      <c r="O318" s="45">
        <f t="shared" si="129"/>
        <v>0</v>
      </c>
      <c r="P318" s="70">
        <f t="shared" si="129"/>
        <v>-56649</v>
      </c>
      <c r="Q318" s="46">
        <f t="shared" si="129"/>
        <v>595218</v>
      </c>
      <c r="R318" s="44">
        <f t="shared" si="129"/>
        <v>12613.28</v>
      </c>
      <c r="S318" s="44">
        <f t="shared" si="129"/>
        <v>20886.32</v>
      </c>
      <c r="T318" s="44">
        <f t="shared" si="129"/>
        <v>33377.86</v>
      </c>
      <c r="U318" s="44">
        <f t="shared" si="129"/>
        <v>23339.2</v>
      </c>
      <c r="V318" s="44">
        <f t="shared" si="129"/>
        <v>71326.8</v>
      </c>
      <c r="W318" s="44">
        <f t="shared" si="129"/>
        <v>21412.9</v>
      </c>
      <c r="X318" s="44">
        <f t="shared" si="129"/>
        <v>110907.52</v>
      </c>
      <c r="Y318" s="44">
        <f t="shared" si="129"/>
        <v>59353.850000000006</v>
      </c>
      <c r="Z318" s="44">
        <f t="shared" si="129"/>
        <v>21021.75</v>
      </c>
      <c r="AA318" s="44">
        <f t="shared" si="129"/>
        <v>20598.26</v>
      </c>
      <c r="AB318" s="44">
        <f t="shared" si="129"/>
        <v>26796.82</v>
      </c>
      <c r="AC318" s="44">
        <f>SUM(AC319:AC323)</f>
        <v>66117.63</v>
      </c>
      <c r="AD318" s="44">
        <f>SUM(AD319:AD323)</f>
        <v>487752.19000000006</v>
      </c>
      <c r="AE318" s="44">
        <f>SUM(AE319:AE323)</f>
        <v>107465.80999999997</v>
      </c>
      <c r="AF318" s="615">
        <f t="shared" si="113"/>
        <v>81.94513438773694</v>
      </c>
    </row>
    <row r="319" spans="2:32" s="34" customFormat="1" ht="12.75">
      <c r="B319" s="40"/>
      <c r="C319" s="48"/>
      <c r="D319" s="48">
        <v>4210</v>
      </c>
      <c r="E319" s="49" t="s">
        <v>1201</v>
      </c>
      <c r="F319" s="50">
        <v>500</v>
      </c>
      <c r="G319" s="51"/>
      <c r="H319" s="51"/>
      <c r="I319" s="51"/>
      <c r="J319" s="51"/>
      <c r="K319" s="51">
        <v>567</v>
      </c>
      <c r="L319" s="51"/>
      <c r="M319" s="51"/>
      <c r="N319" s="51"/>
      <c r="O319" s="51"/>
      <c r="P319" s="51">
        <v>30000</v>
      </c>
      <c r="Q319" s="52">
        <f>F319+G319+H319+I319+J319+K319+L319+M319+N319+O319+P319</f>
        <v>31067</v>
      </c>
      <c r="R319" s="50"/>
      <c r="S319" s="50"/>
      <c r="T319" s="50">
        <v>82.35</v>
      </c>
      <c r="U319" s="50"/>
      <c r="V319" s="50"/>
      <c r="W319" s="50">
        <v>41.18</v>
      </c>
      <c r="X319" s="50">
        <v>70.03</v>
      </c>
      <c r="Y319" s="50"/>
      <c r="Z319" s="50"/>
      <c r="AA319" s="50"/>
      <c r="AB319" s="50"/>
      <c r="AC319" s="50">
        <v>22499.19</v>
      </c>
      <c r="AD319" s="53">
        <f>SUM(R319:AC319)</f>
        <v>22692.75</v>
      </c>
      <c r="AE319" s="50">
        <f>Q319-AD319</f>
        <v>8374.25</v>
      </c>
      <c r="AF319" s="616">
        <f t="shared" si="113"/>
        <v>73.04454887823093</v>
      </c>
    </row>
    <row r="320" spans="2:32" s="34" customFormat="1" ht="12.75">
      <c r="B320" s="40"/>
      <c r="C320" s="48"/>
      <c r="D320" s="48">
        <v>4260</v>
      </c>
      <c r="E320" s="49" t="s">
        <v>527</v>
      </c>
      <c r="F320" s="50">
        <v>150000</v>
      </c>
      <c r="G320" s="51"/>
      <c r="H320" s="51"/>
      <c r="I320" s="51"/>
      <c r="J320" s="51"/>
      <c r="K320" s="51"/>
      <c r="L320" s="51"/>
      <c r="M320" s="51"/>
      <c r="N320" s="51"/>
      <c r="O320" s="51"/>
      <c r="P320" s="72">
        <v>-30000</v>
      </c>
      <c r="Q320" s="52">
        <f>F320+G320+H320+I320+J320+K320+L320+M320+N320+O320+P320</f>
        <v>120000</v>
      </c>
      <c r="R320" s="50"/>
      <c r="S320" s="50">
        <v>6005.73</v>
      </c>
      <c r="T320" s="50">
        <v>15983.61</v>
      </c>
      <c r="U320" s="50">
        <v>8448.45</v>
      </c>
      <c r="V320" s="50">
        <v>10037.72</v>
      </c>
      <c r="W320" s="50">
        <v>6317.84</v>
      </c>
      <c r="X320" s="50">
        <v>7052.36</v>
      </c>
      <c r="Y320" s="50">
        <v>4468.94</v>
      </c>
      <c r="Z320" s="50">
        <v>5651.62</v>
      </c>
      <c r="AA320" s="50">
        <v>4112.96</v>
      </c>
      <c r="AB320" s="50">
        <v>11374.19</v>
      </c>
      <c r="AC320" s="50">
        <v>24120.36</v>
      </c>
      <c r="AD320" s="53">
        <f>SUM(R320:AC320)</f>
        <v>103573.78000000001</v>
      </c>
      <c r="AE320" s="50">
        <f>Q320-AD320</f>
        <v>16426.219999999987</v>
      </c>
      <c r="AF320" s="616">
        <f t="shared" si="113"/>
        <v>86.31148333333334</v>
      </c>
    </row>
    <row r="321" spans="2:32" s="34" customFormat="1" ht="12.75">
      <c r="B321" s="40"/>
      <c r="C321" s="48"/>
      <c r="D321" s="48">
        <v>4270</v>
      </c>
      <c r="E321" s="49" t="s">
        <v>499</v>
      </c>
      <c r="F321" s="50">
        <f>90000+10000</f>
        <v>100000</v>
      </c>
      <c r="G321" s="51"/>
      <c r="H321" s="51">
        <v>13150</v>
      </c>
      <c r="I321" s="51"/>
      <c r="J321" s="51">
        <v>150000</v>
      </c>
      <c r="K321" s="51">
        <v>39650</v>
      </c>
      <c r="L321" s="51"/>
      <c r="M321" s="51">
        <v>50000</v>
      </c>
      <c r="N321" s="51"/>
      <c r="O321" s="51"/>
      <c r="P321" s="72">
        <v>-56649</v>
      </c>
      <c r="Q321" s="52">
        <f>F321+G321+H321+I321+J321+K321+L321+M321+N321+O321+P321</f>
        <v>296151</v>
      </c>
      <c r="R321" s="50">
        <v>12613.28</v>
      </c>
      <c r="S321" s="50">
        <v>14880.59</v>
      </c>
      <c r="T321" s="50">
        <v>14871.9</v>
      </c>
      <c r="U321" s="50">
        <v>14890.75</v>
      </c>
      <c r="V321" s="50">
        <v>60679.08</v>
      </c>
      <c r="W321" s="50">
        <v>15053.88</v>
      </c>
      <c r="X321" s="50">
        <v>15208.3</v>
      </c>
      <c r="Y321" s="50">
        <v>54884.91</v>
      </c>
      <c r="Z321" s="50">
        <v>15370.13</v>
      </c>
      <c r="AA321" s="50">
        <v>16485.3</v>
      </c>
      <c r="AB321" s="50">
        <v>15422.63</v>
      </c>
      <c r="AC321" s="50">
        <v>19498.08</v>
      </c>
      <c r="AD321" s="53">
        <f>SUM(R321:AC321)</f>
        <v>269858.83</v>
      </c>
      <c r="AE321" s="50">
        <f>Q321-AD321</f>
        <v>26292.169999999984</v>
      </c>
      <c r="AF321" s="616">
        <f t="shared" si="113"/>
        <v>91.12203909492118</v>
      </c>
    </row>
    <row r="322" spans="2:32" s="34" customFormat="1" ht="30.75" customHeight="1" hidden="1">
      <c r="B322" s="40"/>
      <c r="C322" s="48"/>
      <c r="D322" s="48">
        <v>4300</v>
      </c>
      <c r="E322" s="49" t="s">
        <v>1203</v>
      </c>
      <c r="F322" s="50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2">
        <f>F322+G322+H322+I322+J322+K322+L322+M322+N322+O322+P322</f>
        <v>0</v>
      </c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3">
        <f>SUM(R322:AC322)</f>
        <v>0</v>
      </c>
      <c r="AE322" s="50">
        <f>Q322-AD322</f>
        <v>0</v>
      </c>
      <c r="AF322" s="616" t="e">
        <f t="shared" si="113"/>
        <v>#DIV/0!</v>
      </c>
    </row>
    <row r="323" spans="2:32" s="34" customFormat="1" ht="12.75">
      <c r="B323" s="40"/>
      <c r="C323" s="48"/>
      <c r="D323" s="48">
        <v>6050</v>
      </c>
      <c r="E323" s="49" t="s">
        <v>1204</v>
      </c>
      <c r="F323" s="50">
        <v>148000</v>
      </c>
      <c r="G323" s="51">
        <v>20000</v>
      </c>
      <c r="H323" s="72">
        <v>-20000</v>
      </c>
      <c r="I323" s="51"/>
      <c r="J323" s="51"/>
      <c r="K323" s="51"/>
      <c r="L323" s="51"/>
      <c r="M323" s="51"/>
      <c r="N323" s="51"/>
      <c r="O323" s="51"/>
      <c r="P323" s="51"/>
      <c r="Q323" s="52">
        <f>F323+G323+H323+I323+J323+K323+L323+M323+N323+O323+P323</f>
        <v>148000</v>
      </c>
      <c r="R323" s="50"/>
      <c r="S323" s="50"/>
      <c r="T323" s="50">
        <v>2440</v>
      </c>
      <c r="U323" s="50"/>
      <c r="V323" s="50">
        <v>610</v>
      </c>
      <c r="W323" s="50"/>
      <c r="X323" s="50">
        <v>88576.83</v>
      </c>
      <c r="Y323" s="50"/>
      <c r="Z323" s="50"/>
      <c r="AA323" s="50"/>
      <c r="AB323" s="50"/>
      <c r="AC323" s="50"/>
      <c r="AD323" s="53">
        <f>SUM(R323:AC323)</f>
        <v>91626.83</v>
      </c>
      <c r="AE323" s="50">
        <f>Q323-AD323</f>
        <v>56373.17</v>
      </c>
      <c r="AF323" s="616">
        <f t="shared" si="113"/>
        <v>61.91002027027027</v>
      </c>
    </row>
    <row r="324" spans="2:32" s="34" customFormat="1" ht="12.75">
      <c r="B324" s="40"/>
      <c r="C324" s="42">
        <v>90095</v>
      </c>
      <c r="D324" s="42"/>
      <c r="E324" s="43" t="s">
        <v>99</v>
      </c>
      <c r="F324" s="44">
        <f>SUM(F325:F329)</f>
        <v>38100</v>
      </c>
      <c r="G324" s="45">
        <f aca="true" t="shared" si="130" ref="G324:AB324">SUM(G325:G329)</f>
        <v>25680</v>
      </c>
      <c r="H324" s="45">
        <f t="shared" si="130"/>
        <v>0</v>
      </c>
      <c r="I324" s="45">
        <f t="shared" si="130"/>
        <v>0</v>
      </c>
      <c r="J324" s="45">
        <f t="shared" si="130"/>
        <v>0</v>
      </c>
      <c r="K324" s="45">
        <f t="shared" si="130"/>
        <v>30000</v>
      </c>
      <c r="L324" s="45">
        <f t="shared" si="130"/>
        <v>0</v>
      </c>
      <c r="M324" s="45">
        <f t="shared" si="130"/>
        <v>0</v>
      </c>
      <c r="N324" s="45">
        <f t="shared" si="130"/>
        <v>0</v>
      </c>
      <c r="O324" s="45">
        <f t="shared" si="130"/>
        <v>0</v>
      </c>
      <c r="P324" s="45">
        <f t="shared" si="130"/>
        <v>0</v>
      </c>
      <c r="Q324" s="46">
        <f t="shared" si="130"/>
        <v>93780</v>
      </c>
      <c r="R324" s="44">
        <f t="shared" si="130"/>
        <v>1721.47</v>
      </c>
      <c r="S324" s="44">
        <f t="shared" si="130"/>
        <v>4123.78</v>
      </c>
      <c r="T324" s="44">
        <f t="shared" si="130"/>
        <v>2654.42</v>
      </c>
      <c r="U324" s="44">
        <f t="shared" si="130"/>
        <v>10708.32</v>
      </c>
      <c r="V324" s="44">
        <f t="shared" si="130"/>
        <v>8039.98</v>
      </c>
      <c r="W324" s="44">
        <f t="shared" si="130"/>
        <v>9393.17</v>
      </c>
      <c r="X324" s="44">
        <f t="shared" si="130"/>
        <v>8290.68</v>
      </c>
      <c r="Y324" s="44">
        <f t="shared" si="130"/>
        <v>4619.25</v>
      </c>
      <c r="Z324" s="44">
        <f t="shared" si="130"/>
        <v>1818.7</v>
      </c>
      <c r="AA324" s="44">
        <f t="shared" si="130"/>
        <v>10032.45</v>
      </c>
      <c r="AB324" s="44">
        <f t="shared" si="130"/>
        <v>7429.42</v>
      </c>
      <c r="AC324" s="44">
        <f>SUM(AC325:AC329)</f>
        <v>12335.92</v>
      </c>
      <c r="AD324" s="44">
        <f>SUM(AD325:AD329)</f>
        <v>81167.56</v>
      </c>
      <c r="AE324" s="44">
        <f>SUM(AE325:AE329)</f>
        <v>12612.439999999997</v>
      </c>
      <c r="AF324" s="615">
        <f t="shared" si="113"/>
        <v>86.55103433567925</v>
      </c>
    </row>
    <row r="325" spans="2:32" s="34" customFormat="1" ht="12.75">
      <c r="B325" s="40"/>
      <c r="C325" s="42"/>
      <c r="D325" s="48">
        <v>4170</v>
      </c>
      <c r="E325" s="49" t="s">
        <v>701</v>
      </c>
      <c r="F325" s="50">
        <v>15000</v>
      </c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2">
        <f>F325+G325+H325+I325+J325+K325+L325+M325+N325+O325+P325</f>
        <v>15000</v>
      </c>
      <c r="R325" s="50">
        <v>1193.47</v>
      </c>
      <c r="S325" s="50">
        <v>1195.5</v>
      </c>
      <c r="T325" s="50">
        <v>1195.5</v>
      </c>
      <c r="U325" s="50">
        <v>1195.5</v>
      </c>
      <c r="V325" s="50">
        <v>1195.5</v>
      </c>
      <c r="W325" s="50">
        <v>1195.5</v>
      </c>
      <c r="X325" s="50">
        <v>1220.8</v>
      </c>
      <c r="Y325" s="50">
        <v>1195.5</v>
      </c>
      <c r="Z325" s="50">
        <v>1195.5</v>
      </c>
      <c r="AA325" s="50">
        <v>1195.5</v>
      </c>
      <c r="AB325" s="50">
        <v>1195.5</v>
      </c>
      <c r="AC325" s="50">
        <v>1195.5</v>
      </c>
      <c r="AD325" s="53">
        <f>SUM(R325:AC325)</f>
        <v>14369.27</v>
      </c>
      <c r="AE325" s="50">
        <f>Q325-AD325</f>
        <v>630.7299999999996</v>
      </c>
      <c r="AF325" s="616">
        <f t="shared" si="113"/>
        <v>95.79513333333334</v>
      </c>
    </row>
    <row r="326" spans="2:34" s="34" customFormat="1" ht="12.75">
      <c r="B326" s="40"/>
      <c r="C326" s="42"/>
      <c r="D326" s="48">
        <v>4210</v>
      </c>
      <c r="E326" s="49" t="s">
        <v>1201</v>
      </c>
      <c r="F326" s="50">
        <f>15000+1500</f>
        <v>16500</v>
      </c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2">
        <f>F326+G326+H326+I326+J326+K326+L326+M326+N326+O326+P326</f>
        <v>16500</v>
      </c>
      <c r="R326" s="50"/>
      <c r="S326" s="50">
        <v>2017.54</v>
      </c>
      <c r="T326" s="50">
        <v>1053.8</v>
      </c>
      <c r="U326" s="50">
        <v>3007.77</v>
      </c>
      <c r="V326" s="50">
        <v>19.06</v>
      </c>
      <c r="W326" s="50"/>
      <c r="X326" s="50"/>
      <c r="Y326" s="50">
        <v>3007.74</v>
      </c>
      <c r="Z326" s="50"/>
      <c r="AA326" s="50">
        <v>2999.13</v>
      </c>
      <c r="AB326" s="50">
        <v>20.98</v>
      </c>
      <c r="AC326" s="50">
        <v>80.4</v>
      </c>
      <c r="AD326" s="53">
        <f>SUM(R326:AC326)</f>
        <v>12206.42</v>
      </c>
      <c r="AE326" s="50">
        <f>Q326-AD326</f>
        <v>4293.58</v>
      </c>
      <c r="AF326" s="616">
        <f t="shared" si="113"/>
        <v>73.97830303030302</v>
      </c>
      <c r="AH326" s="34">
        <f>24000*7%</f>
        <v>1680.0000000000002</v>
      </c>
    </row>
    <row r="327" spans="2:32" s="34" customFormat="1" ht="12.75">
      <c r="B327" s="40"/>
      <c r="C327" s="48"/>
      <c r="D327" s="48">
        <v>4260</v>
      </c>
      <c r="E327" s="49" t="s">
        <v>527</v>
      </c>
      <c r="F327" s="50">
        <v>2600</v>
      </c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2">
        <f>F327+G327+H327+I327+J327+K327+L327+M327+N327+O327+P327</f>
        <v>2600</v>
      </c>
      <c r="R327" s="50"/>
      <c r="S327" s="50">
        <v>628.74</v>
      </c>
      <c r="T327" s="50">
        <v>213.12</v>
      </c>
      <c r="U327" s="50">
        <v>85.05</v>
      </c>
      <c r="V327" s="50">
        <v>154.92</v>
      </c>
      <c r="W327" s="50">
        <v>171.34</v>
      </c>
      <c r="X327" s="50">
        <v>210.38</v>
      </c>
      <c r="Y327" s="50">
        <v>62.01</v>
      </c>
      <c r="Z327" s="50">
        <v>75.4</v>
      </c>
      <c r="AA327" s="50">
        <v>161.58</v>
      </c>
      <c r="AB327" s="50">
        <v>171.31</v>
      </c>
      <c r="AC327" s="50">
        <v>319.72</v>
      </c>
      <c r="AD327" s="53">
        <f>SUM(R327:AC327)</f>
        <v>2253.5699999999997</v>
      </c>
      <c r="AE327" s="50">
        <f>Q327-AD327</f>
        <v>346.4300000000003</v>
      </c>
      <c r="AF327" s="616">
        <f t="shared" si="113"/>
        <v>86.67576923076922</v>
      </c>
    </row>
    <row r="328" spans="2:32" s="34" customFormat="1" ht="16.5" customHeight="1">
      <c r="B328" s="40"/>
      <c r="C328" s="48"/>
      <c r="D328" s="48">
        <v>4300</v>
      </c>
      <c r="E328" s="49" t="s">
        <v>1203</v>
      </c>
      <c r="F328" s="50">
        <v>2000</v>
      </c>
      <c r="G328" s="51">
        <f>24000+1680</f>
        <v>25680</v>
      </c>
      <c r="H328" s="51"/>
      <c r="I328" s="51"/>
      <c r="J328" s="51"/>
      <c r="K328" s="51">
        <v>30000</v>
      </c>
      <c r="L328" s="51"/>
      <c r="M328" s="51"/>
      <c r="N328" s="51"/>
      <c r="O328" s="51"/>
      <c r="P328" s="51"/>
      <c r="Q328" s="52">
        <f>F328+G328+H328+I328+J328+K328+L328+M328+N328+O328+P328</f>
        <v>57680</v>
      </c>
      <c r="R328" s="50">
        <f>378+150</f>
        <v>528</v>
      </c>
      <c r="S328" s="50">
        <v>282</v>
      </c>
      <c r="T328" s="50">
        <v>192</v>
      </c>
      <c r="U328" s="50">
        <v>6420</v>
      </c>
      <c r="V328" s="50">
        <v>6670.5</v>
      </c>
      <c r="W328" s="50">
        <v>7172.33</v>
      </c>
      <c r="X328" s="50">
        <v>6859.5</v>
      </c>
      <c r="Y328" s="50">
        <v>354</v>
      </c>
      <c r="Z328" s="50">
        <v>547.8</v>
      </c>
      <c r="AA328" s="50">
        <v>5676.24</v>
      </c>
      <c r="AB328" s="50">
        <v>6041.63</v>
      </c>
      <c r="AC328" s="50">
        <v>10740.3</v>
      </c>
      <c r="AD328" s="53">
        <f>SUM(R328:AC328)</f>
        <v>51484.3</v>
      </c>
      <c r="AE328" s="50">
        <f>Q328-AD328</f>
        <v>6195.699999999997</v>
      </c>
      <c r="AF328" s="616">
        <f t="shared" si="113"/>
        <v>89.25849514563107</v>
      </c>
    </row>
    <row r="329" spans="2:32" s="34" customFormat="1" ht="12.75">
      <c r="B329" s="40"/>
      <c r="C329" s="48"/>
      <c r="D329" s="48">
        <v>6050</v>
      </c>
      <c r="E329" s="49" t="s">
        <v>1204</v>
      </c>
      <c r="F329" s="50">
        <v>2000</v>
      </c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2">
        <f>F329+G329+H329+I329+J329+K329+L329+M329+N329+O329+P329</f>
        <v>2000</v>
      </c>
      <c r="R329" s="50"/>
      <c r="S329" s="50"/>
      <c r="T329" s="50"/>
      <c r="U329" s="50"/>
      <c r="V329" s="50"/>
      <c r="W329" s="50">
        <v>854</v>
      </c>
      <c r="X329" s="50"/>
      <c r="Y329" s="50"/>
      <c r="Z329" s="50"/>
      <c r="AA329" s="50"/>
      <c r="AB329" s="50"/>
      <c r="AC329" s="50"/>
      <c r="AD329" s="53">
        <f>SUM(R329:AC329)</f>
        <v>854</v>
      </c>
      <c r="AE329" s="50">
        <f>Q329-AD329</f>
        <v>1146</v>
      </c>
      <c r="AF329" s="616">
        <f t="shared" si="113"/>
        <v>42.7</v>
      </c>
    </row>
    <row r="330" spans="2:32" s="34" customFormat="1" ht="12.75">
      <c r="B330" s="60">
        <v>921</v>
      </c>
      <c r="C330" s="61"/>
      <c r="D330" s="61"/>
      <c r="E330" s="62" t="s">
        <v>1164</v>
      </c>
      <c r="F330" s="58">
        <f>F331+F333</f>
        <v>510000</v>
      </c>
      <c r="G330" s="59">
        <f aca="true" t="shared" si="131" ref="G330:AC330">G331+G333</f>
        <v>0</v>
      </c>
      <c r="H330" s="59">
        <f t="shared" si="131"/>
        <v>0</v>
      </c>
      <c r="I330" s="59">
        <f t="shared" si="131"/>
        <v>0</v>
      </c>
      <c r="J330" s="59">
        <f t="shared" si="131"/>
        <v>35000</v>
      </c>
      <c r="K330" s="59">
        <f t="shared" si="131"/>
        <v>0</v>
      </c>
      <c r="L330" s="59">
        <f t="shared" si="131"/>
        <v>7500</v>
      </c>
      <c r="M330" s="59">
        <f t="shared" si="131"/>
        <v>0</v>
      </c>
      <c r="N330" s="59">
        <f t="shared" si="131"/>
        <v>0</v>
      </c>
      <c r="O330" s="59">
        <f t="shared" si="131"/>
        <v>0</v>
      </c>
      <c r="P330" s="59">
        <f t="shared" si="131"/>
        <v>23000</v>
      </c>
      <c r="Q330" s="58">
        <f t="shared" si="131"/>
        <v>575500</v>
      </c>
      <c r="R330" s="58">
        <f t="shared" si="131"/>
        <v>34000</v>
      </c>
      <c r="S330" s="58">
        <f t="shared" si="131"/>
        <v>50700</v>
      </c>
      <c r="T330" s="58">
        <f t="shared" si="131"/>
        <v>50500</v>
      </c>
      <c r="U330" s="58">
        <f t="shared" si="131"/>
        <v>47800</v>
      </c>
      <c r="V330" s="58">
        <f t="shared" si="131"/>
        <v>41000</v>
      </c>
      <c r="W330" s="58">
        <f t="shared" si="131"/>
        <v>39000</v>
      </c>
      <c r="X330" s="58">
        <f t="shared" si="131"/>
        <v>57500</v>
      </c>
      <c r="Y330" s="58">
        <f t="shared" si="131"/>
        <v>37500</v>
      </c>
      <c r="Z330" s="58">
        <f t="shared" si="131"/>
        <v>27200</v>
      </c>
      <c r="AA330" s="58">
        <f t="shared" si="131"/>
        <v>39000</v>
      </c>
      <c r="AB330" s="58">
        <f t="shared" si="131"/>
        <v>49000</v>
      </c>
      <c r="AC330" s="58">
        <f t="shared" si="131"/>
        <v>102300</v>
      </c>
      <c r="AD330" s="58">
        <f>AD331+AD333</f>
        <v>575500</v>
      </c>
      <c r="AE330" s="58">
        <f>AE331+AE333</f>
        <v>0</v>
      </c>
      <c r="AF330" s="614">
        <f t="shared" si="113"/>
        <v>100</v>
      </c>
    </row>
    <row r="331" spans="2:32" s="34" customFormat="1" ht="12.75">
      <c r="B331" s="40"/>
      <c r="C331" s="42">
        <v>92109</v>
      </c>
      <c r="D331" s="42"/>
      <c r="E331" s="43" t="s">
        <v>702</v>
      </c>
      <c r="F331" s="44">
        <f aca="true" t="shared" si="132" ref="F331:AE331">SUM(F332:F332)</f>
        <v>190000</v>
      </c>
      <c r="G331" s="45">
        <f t="shared" si="132"/>
        <v>0</v>
      </c>
      <c r="H331" s="45">
        <f t="shared" si="132"/>
        <v>0</v>
      </c>
      <c r="I331" s="45">
        <f t="shared" si="132"/>
        <v>0</v>
      </c>
      <c r="J331" s="45">
        <f t="shared" si="132"/>
        <v>10000</v>
      </c>
      <c r="K331" s="45">
        <f t="shared" si="132"/>
        <v>0</v>
      </c>
      <c r="L331" s="45">
        <f t="shared" si="132"/>
        <v>7500</v>
      </c>
      <c r="M331" s="45">
        <f t="shared" si="132"/>
        <v>0</v>
      </c>
      <c r="N331" s="45">
        <f t="shared" si="132"/>
        <v>0</v>
      </c>
      <c r="O331" s="45">
        <f t="shared" si="132"/>
        <v>0</v>
      </c>
      <c r="P331" s="45">
        <f t="shared" si="132"/>
        <v>23000</v>
      </c>
      <c r="Q331" s="46">
        <f>SUM(Q332:Q332)</f>
        <v>230500</v>
      </c>
      <c r="R331" s="44">
        <f t="shared" si="132"/>
        <v>13000</v>
      </c>
      <c r="S331" s="44">
        <f t="shared" si="132"/>
        <v>20200</v>
      </c>
      <c r="T331" s="44">
        <f t="shared" si="132"/>
        <v>26000</v>
      </c>
      <c r="U331" s="44">
        <f t="shared" si="132"/>
        <v>21800</v>
      </c>
      <c r="V331" s="44">
        <f t="shared" si="132"/>
        <v>13000</v>
      </c>
      <c r="W331" s="44">
        <f t="shared" si="132"/>
        <v>18000</v>
      </c>
      <c r="X331" s="44">
        <f t="shared" si="132"/>
        <v>17500</v>
      </c>
      <c r="Y331" s="44">
        <f t="shared" si="132"/>
        <v>13500</v>
      </c>
      <c r="Z331" s="44">
        <f t="shared" si="132"/>
        <v>11200</v>
      </c>
      <c r="AA331" s="44">
        <f t="shared" si="132"/>
        <v>16500</v>
      </c>
      <c r="AB331" s="44">
        <f t="shared" si="132"/>
        <v>18000</v>
      </c>
      <c r="AC331" s="44">
        <f t="shared" si="132"/>
        <v>41800</v>
      </c>
      <c r="AD331" s="44">
        <f t="shared" si="132"/>
        <v>230500</v>
      </c>
      <c r="AE331" s="44">
        <f t="shared" si="132"/>
        <v>0</v>
      </c>
      <c r="AF331" s="615">
        <f t="shared" si="113"/>
        <v>100</v>
      </c>
    </row>
    <row r="332" spans="2:32" s="34" customFormat="1" ht="25.5">
      <c r="B332" s="40"/>
      <c r="C332" s="48"/>
      <c r="D332" s="48">
        <v>2480</v>
      </c>
      <c r="E332" s="49" t="s">
        <v>703</v>
      </c>
      <c r="F332" s="50">
        <v>190000</v>
      </c>
      <c r="G332" s="51"/>
      <c r="H332" s="51"/>
      <c r="I332" s="51"/>
      <c r="J332" s="51">
        <v>10000</v>
      </c>
      <c r="K332" s="51"/>
      <c r="L332" s="51">
        <v>7500</v>
      </c>
      <c r="M332" s="51"/>
      <c r="N332" s="51"/>
      <c r="O332" s="51"/>
      <c r="P332" s="51">
        <v>23000</v>
      </c>
      <c r="Q332" s="52">
        <f>F332+G332+H332+I332+J332+K332+L332+M332+N332+O332+P332</f>
        <v>230500</v>
      </c>
      <c r="R332" s="50">
        <v>13000</v>
      </c>
      <c r="S332" s="50">
        <v>20200</v>
      </c>
      <c r="T332" s="50">
        <v>26000</v>
      </c>
      <c r="U332" s="50">
        <v>21800</v>
      </c>
      <c r="V332" s="50">
        <v>13000</v>
      </c>
      <c r="W332" s="50">
        <v>18000</v>
      </c>
      <c r="X332" s="50">
        <v>17500</v>
      </c>
      <c r="Y332" s="50">
        <v>13500</v>
      </c>
      <c r="Z332" s="50">
        <v>11200</v>
      </c>
      <c r="AA332" s="50">
        <v>16500</v>
      </c>
      <c r="AB332" s="50">
        <v>18000</v>
      </c>
      <c r="AC332" s="50">
        <v>41800</v>
      </c>
      <c r="AD332" s="53">
        <f>SUM(R332:AC332)</f>
        <v>230500</v>
      </c>
      <c r="AE332" s="50">
        <f>Q332-AD332</f>
        <v>0</v>
      </c>
      <c r="AF332" s="616">
        <f t="shared" si="113"/>
        <v>100</v>
      </c>
    </row>
    <row r="333" spans="2:32" s="34" customFormat="1" ht="12.75">
      <c r="B333" s="40"/>
      <c r="C333" s="42">
        <v>92116</v>
      </c>
      <c r="D333" s="42"/>
      <c r="E333" s="43" t="s">
        <v>1165</v>
      </c>
      <c r="F333" s="44">
        <f aca="true" t="shared" si="133" ref="F333:AE333">SUM(F334:F334)</f>
        <v>320000</v>
      </c>
      <c r="G333" s="45">
        <f t="shared" si="133"/>
        <v>0</v>
      </c>
      <c r="H333" s="45">
        <f t="shared" si="133"/>
        <v>0</v>
      </c>
      <c r="I333" s="45">
        <f t="shared" si="133"/>
        <v>0</v>
      </c>
      <c r="J333" s="45">
        <f t="shared" si="133"/>
        <v>25000</v>
      </c>
      <c r="K333" s="45">
        <f t="shared" si="133"/>
        <v>0</v>
      </c>
      <c r="L333" s="45">
        <f t="shared" si="133"/>
        <v>0</v>
      </c>
      <c r="M333" s="45">
        <f t="shared" si="133"/>
        <v>0</v>
      </c>
      <c r="N333" s="45">
        <f t="shared" si="133"/>
        <v>0</v>
      </c>
      <c r="O333" s="45">
        <f t="shared" si="133"/>
        <v>0</v>
      </c>
      <c r="P333" s="45">
        <f t="shared" si="133"/>
        <v>0</v>
      </c>
      <c r="Q333" s="46">
        <f>SUM(Q334:Q334)</f>
        <v>345000</v>
      </c>
      <c r="R333" s="44">
        <f t="shared" si="133"/>
        <v>21000</v>
      </c>
      <c r="S333" s="44">
        <f t="shared" si="133"/>
        <v>30500</v>
      </c>
      <c r="T333" s="44">
        <f t="shared" si="133"/>
        <v>24500</v>
      </c>
      <c r="U333" s="44">
        <f t="shared" si="133"/>
        <v>26000</v>
      </c>
      <c r="V333" s="44">
        <f t="shared" si="133"/>
        <v>28000</v>
      </c>
      <c r="W333" s="44">
        <f t="shared" si="133"/>
        <v>21000</v>
      </c>
      <c r="X333" s="44">
        <f t="shared" si="133"/>
        <v>40000</v>
      </c>
      <c r="Y333" s="44">
        <f t="shared" si="133"/>
        <v>24000</v>
      </c>
      <c r="Z333" s="44">
        <f t="shared" si="133"/>
        <v>16000</v>
      </c>
      <c r="AA333" s="44">
        <f t="shared" si="133"/>
        <v>22500</v>
      </c>
      <c r="AB333" s="44">
        <f t="shared" si="133"/>
        <v>31000</v>
      </c>
      <c r="AC333" s="44">
        <f t="shared" si="133"/>
        <v>60500</v>
      </c>
      <c r="AD333" s="44">
        <f t="shared" si="133"/>
        <v>345000</v>
      </c>
      <c r="AE333" s="44">
        <f t="shared" si="133"/>
        <v>0</v>
      </c>
      <c r="AF333" s="615">
        <f t="shared" si="113"/>
        <v>100</v>
      </c>
    </row>
    <row r="334" spans="2:32" s="34" customFormat="1" ht="25.5">
      <c r="B334" s="40"/>
      <c r="C334" s="48"/>
      <c r="D334" s="48">
        <v>2480</v>
      </c>
      <c r="E334" s="49" t="s">
        <v>703</v>
      </c>
      <c r="F334" s="50">
        <v>320000</v>
      </c>
      <c r="G334" s="51"/>
      <c r="H334" s="51"/>
      <c r="I334" s="51"/>
      <c r="J334" s="51">
        <v>25000</v>
      </c>
      <c r="K334" s="51"/>
      <c r="L334" s="51"/>
      <c r="M334" s="51"/>
      <c r="N334" s="51"/>
      <c r="O334" s="51"/>
      <c r="P334" s="51"/>
      <c r="Q334" s="52">
        <f>F334+G334+H334+I334+J334+K334+L334+M334+N334+O334+P334</f>
        <v>345000</v>
      </c>
      <c r="R334" s="50">
        <v>21000</v>
      </c>
      <c r="S334" s="50">
        <v>30500</v>
      </c>
      <c r="T334" s="50">
        <v>24500</v>
      </c>
      <c r="U334" s="50">
        <v>26000</v>
      </c>
      <c r="V334" s="50">
        <v>28000</v>
      </c>
      <c r="W334" s="50">
        <v>21000</v>
      </c>
      <c r="X334" s="50">
        <v>40000</v>
      </c>
      <c r="Y334" s="50">
        <v>24000</v>
      </c>
      <c r="Z334" s="50">
        <v>16000</v>
      </c>
      <c r="AA334" s="50">
        <v>22500</v>
      </c>
      <c r="AB334" s="50">
        <v>31000</v>
      </c>
      <c r="AC334" s="50">
        <v>60500</v>
      </c>
      <c r="AD334" s="53">
        <f>SUM(R334:AC334)</f>
        <v>345000</v>
      </c>
      <c r="AE334" s="50">
        <f>Q334-AD334</f>
        <v>0</v>
      </c>
      <c r="AF334" s="616">
        <f t="shared" si="113"/>
        <v>100</v>
      </c>
    </row>
    <row r="335" spans="2:32" s="34" customFormat="1" ht="12.75">
      <c r="B335" s="60">
        <v>926</v>
      </c>
      <c r="C335" s="61"/>
      <c r="D335" s="61"/>
      <c r="E335" s="62" t="s">
        <v>704</v>
      </c>
      <c r="F335" s="58">
        <f>F336+F338</f>
        <v>115732</v>
      </c>
      <c r="G335" s="59">
        <f aca="true" t="shared" si="134" ref="G335:AC335">G336+G338</f>
        <v>0</v>
      </c>
      <c r="H335" s="59">
        <f t="shared" si="134"/>
        <v>0</v>
      </c>
      <c r="I335" s="59">
        <f t="shared" si="134"/>
        <v>0</v>
      </c>
      <c r="J335" s="59">
        <f t="shared" si="134"/>
        <v>0</v>
      </c>
      <c r="K335" s="59">
        <f t="shared" si="134"/>
        <v>0</v>
      </c>
      <c r="L335" s="59">
        <f t="shared" si="134"/>
        <v>10000</v>
      </c>
      <c r="M335" s="59">
        <f t="shared" si="134"/>
        <v>20000</v>
      </c>
      <c r="N335" s="59">
        <f t="shared" si="134"/>
        <v>0</v>
      </c>
      <c r="O335" s="59">
        <f t="shared" si="134"/>
        <v>0</v>
      </c>
      <c r="P335" s="59">
        <f t="shared" si="134"/>
        <v>0</v>
      </c>
      <c r="Q335" s="58">
        <f t="shared" si="134"/>
        <v>145732</v>
      </c>
      <c r="R335" s="58">
        <f t="shared" si="134"/>
        <v>843.72</v>
      </c>
      <c r="S335" s="58">
        <f t="shared" si="134"/>
        <v>2978.71</v>
      </c>
      <c r="T335" s="58">
        <f t="shared" si="134"/>
        <v>4790.59</v>
      </c>
      <c r="U335" s="58">
        <f t="shared" si="134"/>
        <v>5910.57</v>
      </c>
      <c r="V335" s="58">
        <f t="shared" si="134"/>
        <v>27514.42</v>
      </c>
      <c r="W335" s="58">
        <f t="shared" si="134"/>
        <v>5366.0599999999995</v>
      </c>
      <c r="X335" s="58">
        <f t="shared" si="134"/>
        <v>26639.64</v>
      </c>
      <c r="Y335" s="58">
        <f t="shared" si="134"/>
        <v>16363.9</v>
      </c>
      <c r="Z335" s="58">
        <f t="shared" si="134"/>
        <v>17157.72</v>
      </c>
      <c r="AA335" s="58">
        <f t="shared" si="134"/>
        <v>5676.759999999999</v>
      </c>
      <c r="AB335" s="58">
        <f t="shared" si="134"/>
        <v>9663.32</v>
      </c>
      <c r="AC335" s="58">
        <f t="shared" si="134"/>
        <v>2032.02</v>
      </c>
      <c r="AD335" s="58">
        <f>AD336+AD338</f>
        <v>124937.43</v>
      </c>
      <c r="AE335" s="58">
        <f>AE336+AE338</f>
        <v>20794.57</v>
      </c>
      <c r="AF335" s="614">
        <f t="shared" si="113"/>
        <v>85.73095133532786</v>
      </c>
    </row>
    <row r="336" spans="2:32" s="34" customFormat="1" ht="12.75">
      <c r="B336" s="40"/>
      <c r="C336" s="42">
        <v>92605</v>
      </c>
      <c r="D336" s="42"/>
      <c r="E336" s="43" t="s">
        <v>705</v>
      </c>
      <c r="F336" s="44">
        <f>SUM(F337:F337)</f>
        <v>35700</v>
      </c>
      <c r="G336" s="45">
        <f aca="true" t="shared" si="135" ref="G336:P336">SUM(G337:G337)</f>
        <v>0</v>
      </c>
      <c r="H336" s="45">
        <f t="shared" si="135"/>
        <v>0</v>
      </c>
      <c r="I336" s="45">
        <f t="shared" si="135"/>
        <v>0</v>
      </c>
      <c r="J336" s="45">
        <f t="shared" si="135"/>
        <v>0</v>
      </c>
      <c r="K336" s="45">
        <f t="shared" si="135"/>
        <v>0</v>
      </c>
      <c r="L336" s="45">
        <f t="shared" si="135"/>
        <v>0</v>
      </c>
      <c r="M336" s="45">
        <f t="shared" si="135"/>
        <v>0</v>
      </c>
      <c r="N336" s="45">
        <f t="shared" si="135"/>
        <v>0</v>
      </c>
      <c r="O336" s="45">
        <f t="shared" si="135"/>
        <v>0</v>
      </c>
      <c r="P336" s="45">
        <f t="shared" si="135"/>
        <v>0</v>
      </c>
      <c r="Q336" s="46">
        <f>SUM(Q337:Q337)</f>
        <v>35700</v>
      </c>
      <c r="R336" s="44">
        <f>SUM(R337:R337)</f>
        <v>0</v>
      </c>
      <c r="S336" s="44">
        <f aca="true" t="shared" si="136" ref="S336:AC336">SUM(S337:S337)</f>
        <v>0</v>
      </c>
      <c r="T336" s="44">
        <f t="shared" si="136"/>
        <v>0</v>
      </c>
      <c r="U336" s="44">
        <f t="shared" si="136"/>
        <v>0</v>
      </c>
      <c r="V336" s="44">
        <f t="shared" si="136"/>
        <v>17850</v>
      </c>
      <c r="W336" s="44">
        <f t="shared" si="136"/>
        <v>0</v>
      </c>
      <c r="X336" s="44">
        <f t="shared" si="136"/>
        <v>17850</v>
      </c>
      <c r="Y336" s="44">
        <f t="shared" si="136"/>
        <v>0</v>
      </c>
      <c r="Z336" s="44">
        <f t="shared" si="136"/>
        <v>0</v>
      </c>
      <c r="AA336" s="44">
        <f t="shared" si="136"/>
        <v>0</v>
      </c>
      <c r="AB336" s="44">
        <f t="shared" si="136"/>
        <v>0</v>
      </c>
      <c r="AC336" s="44">
        <f t="shared" si="136"/>
        <v>0</v>
      </c>
      <c r="AD336" s="44">
        <f>SUM(AD337:AD337)</f>
        <v>35700</v>
      </c>
      <c r="AE336" s="44">
        <f>SUM(AE337:AE337)</f>
        <v>0</v>
      </c>
      <c r="AF336" s="615">
        <f t="shared" si="113"/>
        <v>100</v>
      </c>
    </row>
    <row r="337" spans="2:32" s="34" customFormat="1" ht="38.25">
      <c r="B337" s="40"/>
      <c r="C337" s="42"/>
      <c r="D337" s="48">
        <v>2820</v>
      </c>
      <c r="E337" s="49" t="s">
        <v>575</v>
      </c>
      <c r="F337" s="53">
        <v>35700</v>
      </c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2">
        <f>F337+G337+H337+I337+J337+K337+L337+M337+N337+O337+P337</f>
        <v>35700</v>
      </c>
      <c r="R337" s="53"/>
      <c r="S337" s="53"/>
      <c r="T337" s="53"/>
      <c r="U337" s="53"/>
      <c r="V337" s="53">
        <v>17850</v>
      </c>
      <c r="W337" s="53"/>
      <c r="X337" s="53">
        <v>17850</v>
      </c>
      <c r="Y337" s="53"/>
      <c r="Z337" s="53"/>
      <c r="AA337" s="53"/>
      <c r="AB337" s="53"/>
      <c r="AC337" s="53"/>
      <c r="AD337" s="53">
        <f>SUM(R337:AC337)</f>
        <v>35700</v>
      </c>
      <c r="AE337" s="50">
        <f>Q337-AD337</f>
        <v>0</v>
      </c>
      <c r="AF337" s="616">
        <f t="shared" si="113"/>
        <v>100</v>
      </c>
    </row>
    <row r="338" spans="2:32" s="34" customFormat="1" ht="12.75">
      <c r="B338" s="40"/>
      <c r="C338" s="42">
        <v>92695</v>
      </c>
      <c r="D338" s="42"/>
      <c r="E338" s="43" t="s">
        <v>99</v>
      </c>
      <c r="F338" s="44">
        <f>SUM(F339:F344)</f>
        <v>80032</v>
      </c>
      <c r="G338" s="45">
        <f aca="true" t="shared" si="137" ref="G338:AB338">SUM(G339:G344)</f>
        <v>0</v>
      </c>
      <c r="H338" s="45">
        <f t="shared" si="137"/>
        <v>0</v>
      </c>
      <c r="I338" s="45">
        <f t="shared" si="137"/>
        <v>0</v>
      </c>
      <c r="J338" s="45">
        <f t="shared" si="137"/>
        <v>0</v>
      </c>
      <c r="K338" s="45">
        <f t="shared" si="137"/>
        <v>0</v>
      </c>
      <c r="L338" s="45">
        <f t="shared" si="137"/>
        <v>10000</v>
      </c>
      <c r="M338" s="45">
        <f t="shared" si="137"/>
        <v>20000</v>
      </c>
      <c r="N338" s="45">
        <f t="shared" si="137"/>
        <v>0</v>
      </c>
      <c r="O338" s="45">
        <f t="shared" si="137"/>
        <v>0</v>
      </c>
      <c r="P338" s="45">
        <f t="shared" si="137"/>
        <v>0</v>
      </c>
      <c r="Q338" s="46">
        <f t="shared" si="137"/>
        <v>110032</v>
      </c>
      <c r="R338" s="44">
        <f t="shared" si="137"/>
        <v>843.72</v>
      </c>
      <c r="S338" s="44">
        <f t="shared" si="137"/>
        <v>2978.71</v>
      </c>
      <c r="T338" s="44">
        <f t="shared" si="137"/>
        <v>4790.59</v>
      </c>
      <c r="U338" s="44">
        <f t="shared" si="137"/>
        <v>5910.57</v>
      </c>
      <c r="V338" s="44">
        <f t="shared" si="137"/>
        <v>9664.42</v>
      </c>
      <c r="W338" s="44">
        <f t="shared" si="137"/>
        <v>5366.0599999999995</v>
      </c>
      <c r="X338" s="44">
        <f t="shared" si="137"/>
        <v>8789.64</v>
      </c>
      <c r="Y338" s="44">
        <f t="shared" si="137"/>
        <v>16363.9</v>
      </c>
      <c r="Z338" s="44">
        <f t="shared" si="137"/>
        <v>17157.72</v>
      </c>
      <c r="AA338" s="44">
        <f t="shared" si="137"/>
        <v>5676.759999999999</v>
      </c>
      <c r="AB338" s="44">
        <f t="shared" si="137"/>
        <v>9663.32</v>
      </c>
      <c r="AC338" s="44">
        <f>SUM(AC339:AC344)</f>
        <v>2032.02</v>
      </c>
      <c r="AD338" s="44">
        <f>SUM(AD339:AD344)</f>
        <v>89237.43</v>
      </c>
      <c r="AE338" s="44">
        <f>SUM(AE339:AE344)</f>
        <v>20794.57</v>
      </c>
      <c r="AF338" s="615">
        <f t="shared" si="113"/>
        <v>81.10134324560129</v>
      </c>
    </row>
    <row r="339" spans="2:32" s="34" customFormat="1" ht="15.75" customHeight="1">
      <c r="B339" s="40"/>
      <c r="C339" s="48"/>
      <c r="D339" s="48">
        <v>4170</v>
      </c>
      <c r="E339" s="49" t="s">
        <v>533</v>
      </c>
      <c r="F339" s="50">
        <v>10332</v>
      </c>
      <c r="G339" s="51"/>
      <c r="H339" s="51"/>
      <c r="I339" s="51"/>
      <c r="J339" s="51"/>
      <c r="K339" s="51"/>
      <c r="L339" s="51"/>
      <c r="M339" s="51"/>
      <c r="N339" s="51"/>
      <c r="O339" s="51"/>
      <c r="P339" s="51">
        <v>500</v>
      </c>
      <c r="Q339" s="52">
        <f aca="true" t="shared" si="138" ref="Q339:Q344">F339+G339+H339+I339+J339+K339+L339+M339+N339+O339+P339</f>
        <v>10832</v>
      </c>
      <c r="R339" s="50">
        <v>751.62</v>
      </c>
      <c r="S339" s="50">
        <v>752.96</v>
      </c>
      <c r="T339" s="50">
        <v>752.96</v>
      </c>
      <c r="U339" s="50">
        <v>812.98</v>
      </c>
      <c r="V339" s="50">
        <v>988.79</v>
      </c>
      <c r="W339" s="50">
        <v>1040.02</v>
      </c>
      <c r="X339" s="50">
        <v>1061.55</v>
      </c>
      <c r="Y339" s="50">
        <v>1030.32</v>
      </c>
      <c r="Z339" s="50">
        <v>1050.32</v>
      </c>
      <c r="AA339" s="50">
        <v>1040.32</v>
      </c>
      <c r="AB339" s="50">
        <v>840.03</v>
      </c>
      <c r="AC339" s="50">
        <v>649.09</v>
      </c>
      <c r="AD339" s="53">
        <f aca="true" t="shared" si="139" ref="AD339:AD344">SUM(R339:AC339)</f>
        <v>10770.960000000001</v>
      </c>
      <c r="AE339" s="50">
        <f aca="true" t="shared" si="140" ref="AE339:AE344">Q339-AD339</f>
        <v>61.039999999999054</v>
      </c>
      <c r="AF339" s="616">
        <f t="shared" si="113"/>
        <v>99.43648449039881</v>
      </c>
    </row>
    <row r="340" spans="2:32" s="34" customFormat="1" ht="12.75">
      <c r="B340" s="40"/>
      <c r="C340" s="48"/>
      <c r="D340" s="48">
        <v>4210</v>
      </c>
      <c r="E340" s="49" t="s">
        <v>1201</v>
      </c>
      <c r="F340" s="50">
        <v>20100</v>
      </c>
      <c r="G340" s="51"/>
      <c r="H340" s="51"/>
      <c r="I340" s="51"/>
      <c r="J340" s="51"/>
      <c r="K340" s="51"/>
      <c r="L340" s="51"/>
      <c r="M340" s="51">
        <v>10000</v>
      </c>
      <c r="N340" s="51"/>
      <c r="O340" s="51"/>
      <c r="P340" s="51"/>
      <c r="Q340" s="52">
        <f t="shared" si="138"/>
        <v>30100</v>
      </c>
      <c r="R340" s="50"/>
      <c r="S340" s="50">
        <v>464.38</v>
      </c>
      <c r="T340" s="50">
        <v>703.19</v>
      </c>
      <c r="U340" s="50">
        <v>2165.75</v>
      </c>
      <c r="V340" s="50">
        <v>3968.31</v>
      </c>
      <c r="W340" s="50">
        <v>560.29</v>
      </c>
      <c r="X340" s="50"/>
      <c r="Y340" s="50">
        <v>717</v>
      </c>
      <c r="Z340" s="50">
        <v>3407.82</v>
      </c>
      <c r="AA340" s="50">
        <v>1754.12</v>
      </c>
      <c r="AB340" s="50">
        <v>8003.2</v>
      </c>
      <c r="AC340" s="50">
        <v>350.18</v>
      </c>
      <c r="AD340" s="53">
        <f t="shared" si="139"/>
        <v>22094.24</v>
      </c>
      <c r="AE340" s="50">
        <f t="shared" si="140"/>
        <v>8005.759999999998</v>
      </c>
      <c r="AF340" s="616">
        <f t="shared" si="113"/>
        <v>73.40279069767442</v>
      </c>
    </row>
    <row r="341" spans="2:32" s="34" customFormat="1" ht="12.75">
      <c r="B341" s="40"/>
      <c r="C341" s="48"/>
      <c r="D341" s="48">
        <v>4260</v>
      </c>
      <c r="E341" s="49" t="s">
        <v>527</v>
      </c>
      <c r="F341" s="50">
        <v>7000</v>
      </c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2">
        <f t="shared" si="138"/>
        <v>7000</v>
      </c>
      <c r="R341" s="50"/>
      <c r="S341" s="50">
        <v>568.97</v>
      </c>
      <c r="T341" s="50"/>
      <c r="U341" s="50">
        <v>891.36</v>
      </c>
      <c r="V341" s="50"/>
      <c r="W341" s="50">
        <v>1001.4</v>
      </c>
      <c r="X341" s="50"/>
      <c r="Y341" s="50">
        <v>546.84</v>
      </c>
      <c r="Z341" s="50"/>
      <c r="AA341" s="50">
        <v>814.99</v>
      </c>
      <c r="AB341" s="50"/>
      <c r="AC341" s="50">
        <v>1032.75</v>
      </c>
      <c r="AD341" s="53">
        <f t="shared" si="139"/>
        <v>4856.31</v>
      </c>
      <c r="AE341" s="50">
        <f t="shared" si="140"/>
        <v>2143.6899999999996</v>
      </c>
      <c r="AF341" s="616">
        <f t="shared" si="113"/>
        <v>69.37585714285716</v>
      </c>
    </row>
    <row r="342" spans="2:32" s="34" customFormat="1" ht="15.75" customHeight="1">
      <c r="B342" s="40"/>
      <c r="C342" s="48"/>
      <c r="D342" s="48">
        <v>4300</v>
      </c>
      <c r="E342" s="49" t="s">
        <v>1203</v>
      </c>
      <c r="F342" s="50">
        <f>56100-15000</f>
        <v>41100</v>
      </c>
      <c r="G342" s="51"/>
      <c r="H342" s="51"/>
      <c r="I342" s="51"/>
      <c r="J342" s="51"/>
      <c r="K342" s="51"/>
      <c r="L342" s="51">
        <v>10000</v>
      </c>
      <c r="M342" s="51">
        <v>10000</v>
      </c>
      <c r="N342" s="51"/>
      <c r="O342" s="51"/>
      <c r="P342" s="72">
        <v>-500</v>
      </c>
      <c r="Q342" s="52">
        <f t="shared" si="138"/>
        <v>60600</v>
      </c>
      <c r="R342" s="50">
        <v>32.1</v>
      </c>
      <c r="S342" s="50">
        <v>1192.4</v>
      </c>
      <c r="T342" s="50">
        <v>3334.44</v>
      </c>
      <c r="U342" s="50">
        <v>2040.48</v>
      </c>
      <c r="V342" s="50">
        <v>4707.32</v>
      </c>
      <c r="W342" s="50">
        <v>2764.35</v>
      </c>
      <c r="X342" s="50">
        <v>7728.09</v>
      </c>
      <c r="Y342" s="50">
        <v>14069.74</v>
      </c>
      <c r="Z342" s="50">
        <v>12699.58</v>
      </c>
      <c r="AA342" s="50">
        <v>2067.33</v>
      </c>
      <c r="AB342" s="50">
        <v>820.09</v>
      </c>
      <c r="AC342" s="50"/>
      <c r="AD342" s="53">
        <f t="shared" si="139"/>
        <v>51455.92</v>
      </c>
      <c r="AE342" s="50">
        <f t="shared" si="140"/>
        <v>9144.080000000002</v>
      </c>
      <c r="AF342" s="616">
        <f>AD342*100/Q342</f>
        <v>84.91075907590759</v>
      </c>
    </row>
    <row r="343" spans="2:32" s="34" customFormat="1" ht="12.75">
      <c r="B343" s="40"/>
      <c r="C343" s="48"/>
      <c r="D343" s="48">
        <v>4410</v>
      </c>
      <c r="E343" s="49" t="s">
        <v>528</v>
      </c>
      <c r="F343" s="50">
        <v>500</v>
      </c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2">
        <f t="shared" si="138"/>
        <v>500</v>
      </c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3">
        <f t="shared" si="139"/>
        <v>0</v>
      </c>
      <c r="AE343" s="50">
        <f t="shared" si="140"/>
        <v>500</v>
      </c>
      <c r="AF343" s="616">
        <f>AD343*100/Q343</f>
        <v>0</v>
      </c>
    </row>
    <row r="344" spans="2:32" s="34" customFormat="1" ht="15" customHeight="1">
      <c r="B344" s="40"/>
      <c r="C344" s="48"/>
      <c r="D344" s="48">
        <v>4430</v>
      </c>
      <c r="E344" s="49" t="s">
        <v>1210</v>
      </c>
      <c r="F344" s="50">
        <v>1000</v>
      </c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2">
        <f t="shared" si="138"/>
        <v>1000</v>
      </c>
      <c r="R344" s="50">
        <v>60</v>
      </c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3">
        <f t="shared" si="139"/>
        <v>60</v>
      </c>
      <c r="AE344" s="50">
        <f t="shared" si="140"/>
        <v>940</v>
      </c>
      <c r="AF344" s="616">
        <f>AD344*100/Q344</f>
        <v>6</v>
      </c>
    </row>
    <row r="345" spans="2:32" s="34" customFormat="1" ht="13.5" thickBot="1">
      <c r="B345" s="623"/>
      <c r="C345" s="624"/>
      <c r="D345" s="624"/>
      <c r="E345" s="625" t="s">
        <v>1176</v>
      </c>
      <c r="F345" s="626">
        <f>F7+F27+F35+F51+F95+F104+F135+F138+F252+F269+F315+F330+F335+F43+F132+F126+F23+F312</f>
        <v>15643143</v>
      </c>
      <c r="G345" s="627">
        <f aca="true" t="shared" si="141" ref="G345:AE345">G7+G27+G35+G51+G95+G104+G135+G138+G252+G269+G315+G330+G335+G43+G132+G126+G23+G312</f>
        <v>-82292</v>
      </c>
      <c r="H345" s="628">
        <f t="shared" si="141"/>
        <v>29836</v>
      </c>
      <c r="I345" s="628">
        <f t="shared" si="141"/>
        <v>0</v>
      </c>
      <c r="J345" s="628">
        <f t="shared" si="141"/>
        <v>1484580</v>
      </c>
      <c r="K345" s="628">
        <f t="shared" si="141"/>
        <v>1997379</v>
      </c>
      <c r="L345" s="627">
        <f t="shared" si="141"/>
        <v>-48174</v>
      </c>
      <c r="M345" s="628">
        <f t="shared" si="141"/>
        <v>624439</v>
      </c>
      <c r="N345" s="627">
        <f t="shared" si="141"/>
        <v>133192</v>
      </c>
      <c r="O345" s="628">
        <f t="shared" si="141"/>
        <v>449701</v>
      </c>
      <c r="P345" s="628">
        <f t="shared" si="141"/>
        <v>0</v>
      </c>
      <c r="Q345" s="626">
        <f t="shared" si="141"/>
        <v>20231804</v>
      </c>
      <c r="R345" s="626">
        <f t="shared" si="141"/>
        <v>1000814.6999999998</v>
      </c>
      <c r="S345" s="626">
        <f t="shared" si="141"/>
        <v>1102486.5699999998</v>
      </c>
      <c r="T345" s="626">
        <f t="shared" si="141"/>
        <v>1585630.0999999999</v>
      </c>
      <c r="U345" s="626">
        <f t="shared" si="141"/>
        <v>1231718.6099999999</v>
      </c>
      <c r="V345" s="626">
        <f t="shared" si="141"/>
        <v>1373491.3199999998</v>
      </c>
      <c r="W345" s="626">
        <f t="shared" si="141"/>
        <v>1172671.76</v>
      </c>
      <c r="X345" s="626">
        <f t="shared" si="141"/>
        <v>1212227.31</v>
      </c>
      <c r="Y345" s="626">
        <f t="shared" si="141"/>
        <v>1172214.5199999998</v>
      </c>
      <c r="Z345" s="626">
        <f t="shared" si="141"/>
        <v>1313317.5899999996</v>
      </c>
      <c r="AA345" s="626">
        <f t="shared" si="141"/>
        <v>1308379.47</v>
      </c>
      <c r="AB345" s="626">
        <f t="shared" si="141"/>
        <v>2965356.18</v>
      </c>
      <c r="AC345" s="626">
        <f t="shared" si="141"/>
        <v>2403763.86</v>
      </c>
      <c r="AD345" s="626">
        <f t="shared" si="141"/>
        <v>17842071.99</v>
      </c>
      <c r="AE345" s="626">
        <f t="shared" si="141"/>
        <v>2389732.0100000002</v>
      </c>
      <c r="AF345" s="629">
        <f>AD345*100/Q345</f>
        <v>88.18824060375435</v>
      </c>
    </row>
    <row r="346" spans="6:32" s="34" customFormat="1" ht="15">
      <c r="F346" s="54"/>
      <c r="G346" s="83"/>
      <c r="H346" s="54"/>
      <c r="I346" s="54"/>
      <c r="J346" s="54"/>
      <c r="K346" s="54"/>
      <c r="L346" s="54"/>
      <c r="M346" s="83"/>
      <c r="N346" s="83"/>
      <c r="O346" s="83"/>
      <c r="P346" s="83"/>
      <c r="Q346" s="84"/>
      <c r="R346" s="54"/>
      <c r="S346" s="54">
        <f>-'[2]Szamotuły'!R134</f>
        <v>0</v>
      </c>
      <c r="T346" s="54"/>
      <c r="U346" s="54"/>
      <c r="V346" s="54"/>
      <c r="W346" s="54"/>
      <c r="X346" s="54">
        <f>-'[2]Szamotuły'!V134</f>
        <v>0</v>
      </c>
      <c r="Y346" s="54">
        <f>-'[2]Szamotuły'!W134</f>
        <v>0</v>
      </c>
      <c r="Z346" s="54">
        <f>-'[2]Szamotuły'!X134</f>
        <v>0</v>
      </c>
      <c r="AA346" s="54">
        <f>-'[2]Szamotuły'!Y134</f>
        <v>0</v>
      </c>
      <c r="AB346" s="54">
        <f>-'[2]Szamotuły'!Z134</f>
        <v>0</v>
      </c>
      <c r="AC346" s="54">
        <f>-'[2]Szamotuły'!AA134</f>
        <v>0</v>
      </c>
      <c r="AD346" s="630"/>
      <c r="AE346" s="631"/>
      <c r="AF346" s="632"/>
    </row>
    <row r="347" spans="5:32" s="34" customFormat="1" ht="15.75">
      <c r="E347" s="85"/>
      <c r="F347" s="86"/>
      <c r="G347" s="633"/>
      <c r="H347" s="633"/>
      <c r="I347" s="86"/>
      <c r="J347" s="86"/>
      <c r="K347" s="86"/>
      <c r="L347" s="86"/>
      <c r="M347" s="633"/>
      <c r="N347" s="633"/>
      <c r="O347" s="633"/>
      <c r="P347" s="633"/>
      <c r="Q347" s="634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633"/>
      <c r="AE347" s="631"/>
      <c r="AF347" s="632"/>
    </row>
    <row r="348" spans="7:32" s="34" customFormat="1" ht="15">
      <c r="G348" s="87"/>
      <c r="I348" s="54"/>
      <c r="J348" s="54"/>
      <c r="M348" s="87"/>
      <c r="N348" s="87"/>
      <c r="O348" s="87"/>
      <c r="P348" s="87"/>
      <c r="Q348" s="84"/>
      <c r="AD348" s="88"/>
      <c r="AE348" s="631"/>
      <c r="AF348" s="632"/>
    </row>
    <row r="349" spans="5:32" s="34" customFormat="1" ht="15">
      <c r="E349" s="54"/>
      <c r="F349" s="54"/>
      <c r="G349" s="83"/>
      <c r="H349" s="54"/>
      <c r="I349" s="54"/>
      <c r="J349" s="54"/>
      <c r="K349" s="54"/>
      <c r="L349" s="54"/>
      <c r="M349" s="83"/>
      <c r="N349" s="83"/>
      <c r="O349" s="83"/>
      <c r="P349" s="83"/>
      <c r="Q349" s="8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630"/>
      <c r="AE349" s="631"/>
      <c r="AF349" s="632"/>
    </row>
    <row r="350" spans="6:31" s="34" customFormat="1" ht="12.75">
      <c r="F350" s="54"/>
      <c r="G350" s="83"/>
      <c r="H350" s="54"/>
      <c r="I350" s="54"/>
      <c r="J350" s="54"/>
      <c r="K350" s="54"/>
      <c r="L350" s="54"/>
      <c r="M350" s="83"/>
      <c r="N350" s="83"/>
      <c r="O350" s="83"/>
      <c r="P350" s="83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</row>
    <row r="351" spans="6:31" s="34" customFormat="1" ht="12.75">
      <c r="F351" s="54"/>
      <c r="G351" s="83"/>
      <c r="H351" s="54"/>
      <c r="I351" s="54"/>
      <c r="J351" s="54"/>
      <c r="K351" s="54"/>
      <c r="L351" s="54"/>
      <c r="M351" s="83"/>
      <c r="N351" s="83"/>
      <c r="O351" s="83"/>
      <c r="P351" s="83"/>
      <c r="Q351" s="84"/>
      <c r="R351" s="54"/>
      <c r="S351" s="84"/>
      <c r="T351" s="84"/>
      <c r="U351" s="84"/>
      <c r="V351" s="84"/>
      <c r="W351" s="84"/>
      <c r="X351" s="84"/>
      <c r="Y351" s="84"/>
      <c r="Z351" s="84"/>
      <c r="AA351" s="84"/>
      <c r="AB351" s="84"/>
      <c r="AC351" s="84"/>
      <c r="AD351" s="84"/>
      <c r="AE351" s="84"/>
    </row>
    <row r="352" spans="6:31" s="34" customFormat="1" ht="12.75">
      <c r="F352" s="54"/>
      <c r="G352" s="83"/>
      <c r="H352" s="54"/>
      <c r="I352" s="54"/>
      <c r="J352" s="54"/>
      <c r="K352" s="54"/>
      <c r="L352" s="54"/>
      <c r="M352" s="83"/>
      <c r="N352" s="83"/>
      <c r="O352" s="83"/>
      <c r="P352" s="83"/>
      <c r="Q352" s="84"/>
      <c r="R352" s="54"/>
      <c r="S352" s="84"/>
      <c r="T352" s="84"/>
      <c r="U352" s="84"/>
      <c r="V352" s="84"/>
      <c r="W352" s="84"/>
      <c r="X352" s="84"/>
      <c r="Y352" s="84"/>
      <c r="Z352" s="84"/>
      <c r="AA352" s="84"/>
      <c r="AB352" s="84"/>
      <c r="AC352" s="84"/>
      <c r="AD352" s="84"/>
      <c r="AE352" s="84"/>
    </row>
    <row r="353" spans="6:31" s="34" customFormat="1" ht="12.75">
      <c r="F353" s="54"/>
      <c r="G353" s="83"/>
      <c r="H353" s="54"/>
      <c r="I353" s="54"/>
      <c r="J353" s="54"/>
      <c r="K353" s="54"/>
      <c r="L353" s="54"/>
      <c r="M353" s="83"/>
      <c r="N353" s="83"/>
      <c r="O353" s="83"/>
      <c r="P353" s="83"/>
      <c r="Q353" s="84"/>
      <c r="R353" s="54"/>
      <c r="S353" s="84"/>
      <c r="T353" s="84"/>
      <c r="U353" s="84"/>
      <c r="V353" s="84"/>
      <c r="W353" s="84"/>
      <c r="X353" s="84"/>
      <c r="Y353" s="84"/>
      <c r="Z353" s="84"/>
      <c r="AA353" s="84"/>
      <c r="AB353" s="84"/>
      <c r="AC353" s="84"/>
      <c r="AD353" s="84"/>
      <c r="AE353" s="84"/>
    </row>
    <row r="354" spans="6:31" s="34" customFormat="1" ht="12.75">
      <c r="F354" s="54"/>
      <c r="G354" s="83"/>
      <c r="H354" s="54"/>
      <c r="I354" s="54"/>
      <c r="J354" s="54"/>
      <c r="K354" s="54"/>
      <c r="L354" s="54"/>
      <c r="M354" s="83"/>
      <c r="N354" s="83"/>
      <c r="O354" s="83"/>
      <c r="P354" s="83"/>
      <c r="Q354" s="84"/>
      <c r="R354" s="54"/>
      <c r="S354" s="84"/>
      <c r="T354" s="84"/>
      <c r="U354" s="84"/>
      <c r="V354" s="84"/>
      <c r="W354" s="84"/>
      <c r="X354" s="84"/>
      <c r="Y354" s="84"/>
      <c r="Z354" s="84"/>
      <c r="AA354" s="84"/>
      <c r="AB354" s="84"/>
      <c r="AC354" s="84"/>
      <c r="AD354" s="84"/>
      <c r="AE354" s="84"/>
    </row>
    <row r="355" spans="6:29" s="34" customFormat="1" ht="12.75">
      <c r="F355" s="54"/>
      <c r="G355" s="83"/>
      <c r="H355" s="54"/>
      <c r="I355" s="54"/>
      <c r="J355" s="54"/>
      <c r="K355" s="54"/>
      <c r="L355" s="54"/>
      <c r="M355" s="83"/>
      <c r="N355" s="83"/>
      <c r="O355" s="83"/>
      <c r="P355" s="83"/>
      <c r="Q355" s="63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</row>
    <row r="356" spans="6:29" s="34" customFormat="1" ht="12.75">
      <c r="F356" s="54"/>
      <c r="G356" s="83"/>
      <c r="H356" s="54"/>
      <c r="I356" s="54"/>
      <c r="J356" s="54"/>
      <c r="K356" s="54"/>
      <c r="L356" s="54"/>
      <c r="M356" s="83"/>
      <c r="N356" s="83"/>
      <c r="O356" s="83"/>
      <c r="P356" s="83"/>
      <c r="Q356" s="63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</row>
    <row r="357" spans="7:17" s="34" customFormat="1" ht="12.75">
      <c r="G357" s="87"/>
      <c r="M357" s="87"/>
      <c r="N357" s="87"/>
      <c r="O357" s="87"/>
      <c r="P357" s="87"/>
      <c r="Q357" s="84"/>
    </row>
    <row r="358" spans="7:17" s="34" customFormat="1" ht="12.75">
      <c r="G358" s="87"/>
      <c r="M358" s="87"/>
      <c r="N358" s="87"/>
      <c r="O358" s="87"/>
      <c r="P358" s="87"/>
      <c r="Q358" s="63"/>
    </row>
    <row r="359" spans="17:31" ht="12.75">
      <c r="Q359" s="30"/>
      <c r="AE359" s="88"/>
    </row>
    <row r="360" ht="12.75">
      <c r="Q360" s="635"/>
    </row>
    <row r="361" spans="6:17" ht="12.75">
      <c r="F361" s="88"/>
      <c r="Q361" s="30"/>
    </row>
    <row r="362" spans="6:17" ht="12.75">
      <c r="F362" s="88"/>
      <c r="Q362" s="30"/>
    </row>
    <row r="363" spans="6:17" ht="12.75">
      <c r="F363" s="88">
        <v>-66586.64</v>
      </c>
      <c r="Q363" s="30"/>
    </row>
    <row r="364" spans="6:17" ht="12.75">
      <c r="F364" s="88">
        <f>SUM(F361:F363)</f>
        <v>-66586.64</v>
      </c>
      <c r="Q364" s="30"/>
    </row>
    <row r="365" ht="12.75">
      <c r="Q365" s="30"/>
    </row>
    <row r="366" ht="12.75">
      <c r="Q366" s="30"/>
    </row>
    <row r="367" ht="12.75">
      <c r="Q367" s="30"/>
    </row>
    <row r="368" ht="12.75">
      <c r="Q368" s="30"/>
    </row>
    <row r="369" ht="12.75">
      <c r="Q369" s="30"/>
    </row>
    <row r="370" ht="12.75">
      <c r="Q370" s="30"/>
    </row>
    <row r="371" ht="12.75">
      <c r="Q371" s="30"/>
    </row>
    <row r="372" ht="12.75">
      <c r="Q372" s="30"/>
    </row>
    <row r="373" ht="12.75">
      <c r="Q373" s="30"/>
    </row>
    <row r="374" ht="12.75">
      <c r="Q374" s="30"/>
    </row>
    <row r="375" ht="12.75">
      <c r="Q375" s="30"/>
    </row>
    <row r="376" ht="12.75">
      <c r="Q376" s="30"/>
    </row>
    <row r="377" ht="12.75">
      <c r="Q377" s="30"/>
    </row>
    <row r="378" ht="12.75">
      <c r="Q378" s="30"/>
    </row>
    <row r="379" ht="12.75">
      <c r="Q379" s="30"/>
    </row>
    <row r="380" ht="12.75">
      <c r="Q380" s="30"/>
    </row>
    <row r="381" ht="12.75">
      <c r="Q381" s="30"/>
    </row>
    <row r="382" ht="12.75">
      <c r="Q382" s="30"/>
    </row>
    <row r="383" ht="12.75">
      <c r="Q383" s="30"/>
    </row>
    <row r="384" ht="12.75">
      <c r="Q384" s="30"/>
    </row>
    <row r="385" ht="12.75">
      <c r="Q385" s="30"/>
    </row>
    <row r="386" ht="12.75">
      <c r="Q386" s="30"/>
    </row>
    <row r="387" ht="12.75">
      <c r="Q387" s="30"/>
    </row>
    <row r="388" ht="12.75">
      <c r="Q388" s="30"/>
    </row>
    <row r="389" ht="12.75">
      <c r="Q389" s="30"/>
    </row>
    <row r="390" ht="12.75">
      <c r="Q390" s="30"/>
    </row>
    <row r="391" ht="12.75">
      <c r="Q391" s="30"/>
    </row>
    <row r="392" ht="12.75">
      <c r="Q392" s="30"/>
    </row>
    <row r="393" ht="12.75">
      <c r="Q393" s="30"/>
    </row>
    <row r="394" ht="12.75">
      <c r="Q394" s="30"/>
    </row>
    <row r="395" ht="12.75">
      <c r="Q395" s="30"/>
    </row>
    <row r="396" ht="12.75">
      <c r="Q396" s="30"/>
    </row>
    <row r="397" ht="12.75">
      <c r="Q397" s="30"/>
    </row>
    <row r="398" ht="12.75">
      <c r="Q398" s="30"/>
    </row>
    <row r="399" ht="12.75">
      <c r="Q399" s="30"/>
    </row>
    <row r="400" ht="12.75">
      <c r="Q400" s="30"/>
    </row>
    <row r="401" ht="12.75">
      <c r="Q401" s="30"/>
    </row>
    <row r="402" ht="12.75">
      <c r="Q402" s="30"/>
    </row>
    <row r="403" ht="12.75">
      <c r="Q403" s="30"/>
    </row>
    <row r="404" ht="12.75">
      <c r="Q404" s="30"/>
    </row>
    <row r="405" ht="12.75">
      <c r="Q405" s="30"/>
    </row>
    <row r="406" ht="12.75">
      <c r="Q406" s="30"/>
    </row>
    <row r="407" ht="12.75">
      <c r="Q407" s="30"/>
    </row>
    <row r="408" ht="12.75">
      <c r="Q408" s="30"/>
    </row>
    <row r="409" ht="12.75">
      <c r="Q409" s="30"/>
    </row>
    <row r="410" ht="12.75">
      <c r="Q410" s="30"/>
    </row>
    <row r="411" ht="12.75">
      <c r="Q411" s="30"/>
    </row>
    <row r="412" ht="12.75">
      <c r="Q412" s="30"/>
    </row>
    <row r="413" ht="12.75">
      <c r="Q413" s="30"/>
    </row>
    <row r="414" ht="12.75">
      <c r="Q414" s="30"/>
    </row>
    <row r="415" ht="12.75">
      <c r="Q415" s="30"/>
    </row>
    <row r="416" ht="12.75">
      <c r="Q416" s="30"/>
    </row>
    <row r="417" ht="12.75">
      <c r="Q417" s="30"/>
    </row>
    <row r="418" ht="12.75">
      <c r="Q418" s="30"/>
    </row>
  </sheetData>
  <mergeCells count="21">
    <mergeCell ref="T3:T4"/>
    <mergeCell ref="U3:U4"/>
    <mergeCell ref="Z3:Z4"/>
    <mergeCell ref="AA3:AA4"/>
    <mergeCell ref="V3:V4"/>
    <mergeCell ref="W3:W4"/>
    <mergeCell ref="X3:X4"/>
    <mergeCell ref="Y3:Y4"/>
    <mergeCell ref="B3:B4"/>
    <mergeCell ref="C3:C4"/>
    <mergeCell ref="D3:D4"/>
    <mergeCell ref="E3:E4"/>
    <mergeCell ref="F3:F4"/>
    <mergeCell ref="Q3:Q4"/>
    <mergeCell ref="R3:R4"/>
    <mergeCell ref="S3:S4"/>
    <mergeCell ref="AE3:AE4"/>
    <mergeCell ref="AF3:AF4"/>
    <mergeCell ref="AB3:AB4"/>
    <mergeCell ref="AC3:AC4"/>
    <mergeCell ref="AD3:AD4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H89"/>
  <sheetViews>
    <sheetView zoomScale="150" zoomScaleNormal="150" workbookViewId="0" topLeftCell="A22">
      <selection activeCell="B1" sqref="B1:H30"/>
    </sheetView>
  </sheetViews>
  <sheetFormatPr defaultColWidth="9.140625" defaultRowHeight="12.75"/>
  <cols>
    <col min="1" max="1" width="3.7109375" style="24" customWidth="1"/>
    <col min="2" max="2" width="5.28125" style="24" customWidth="1"/>
    <col min="3" max="3" width="7.28125" style="24" customWidth="1"/>
    <col min="4" max="4" width="4.8515625" style="24" customWidth="1"/>
    <col min="5" max="5" width="33.421875" style="24" customWidth="1"/>
    <col min="6" max="6" width="19.57421875" style="90" customWidth="1"/>
    <col min="7" max="7" width="19.57421875" style="24" customWidth="1"/>
    <col min="8" max="8" width="7.28125" style="24" customWidth="1"/>
    <col min="9" max="11" width="11.57421875" style="24" customWidth="1"/>
    <col min="12" max="16384" width="9.140625" style="24" customWidth="1"/>
  </cols>
  <sheetData>
    <row r="1" spans="2:8" ht="24.75" customHeight="1" thickBot="1">
      <c r="B1" s="25" t="s">
        <v>285</v>
      </c>
      <c r="C1" s="26"/>
      <c r="D1" s="27"/>
      <c r="F1" s="30"/>
      <c r="G1" s="742" t="s">
        <v>600</v>
      </c>
      <c r="H1" s="742"/>
    </row>
    <row r="2" spans="2:8" s="34" customFormat="1" ht="34.5" customHeight="1" thickBot="1">
      <c r="B2" s="732" t="s">
        <v>71</v>
      </c>
      <c r="C2" s="731" t="s">
        <v>1190</v>
      </c>
      <c r="D2" s="731" t="s">
        <v>73</v>
      </c>
      <c r="E2" s="731" t="s">
        <v>74</v>
      </c>
      <c r="F2" s="730" t="s">
        <v>286</v>
      </c>
      <c r="G2" s="729" t="s">
        <v>540</v>
      </c>
      <c r="H2" s="729" t="s">
        <v>90</v>
      </c>
    </row>
    <row r="3" spans="2:8" ht="12.75">
      <c r="B3" s="606"/>
      <c r="C3" s="607"/>
      <c r="D3" s="607"/>
      <c r="E3" s="607"/>
      <c r="F3" s="607"/>
      <c r="G3" s="609"/>
      <c r="H3" s="609"/>
    </row>
    <row r="4" spans="2:8" ht="12.75">
      <c r="B4" s="612" t="s">
        <v>92</v>
      </c>
      <c r="C4" s="36"/>
      <c r="D4" s="36"/>
      <c r="E4" s="37" t="s">
        <v>93</v>
      </c>
      <c r="F4" s="38">
        <f>F5</f>
        <v>17800</v>
      </c>
      <c r="G4" s="38">
        <f>G5</f>
        <v>17711.61</v>
      </c>
      <c r="H4" s="622">
        <f aca="true" t="shared" si="0" ref="H4:H30">G4*100/F4</f>
        <v>99.50342696629214</v>
      </c>
    </row>
    <row r="5" spans="2:8" s="34" customFormat="1" ht="12.75">
      <c r="B5" s="40"/>
      <c r="C5" s="41" t="s">
        <v>1207</v>
      </c>
      <c r="D5" s="48"/>
      <c r="E5" s="43" t="s">
        <v>1208</v>
      </c>
      <c r="F5" s="46">
        <f>SUM(F6)</f>
        <v>17800</v>
      </c>
      <c r="G5" s="44">
        <f>SUM(G6)</f>
        <v>17711.61</v>
      </c>
      <c r="H5" s="620">
        <f t="shared" si="0"/>
        <v>99.50342696629214</v>
      </c>
    </row>
    <row r="6" spans="2:8" s="34" customFormat="1" ht="42" customHeight="1">
      <c r="B6" s="40"/>
      <c r="C6" s="48"/>
      <c r="D6" s="48">
        <v>2850</v>
      </c>
      <c r="E6" s="49" t="s">
        <v>1209</v>
      </c>
      <c r="F6" s="52">
        <v>17800</v>
      </c>
      <c r="G6" s="53">
        <v>17711.61</v>
      </c>
      <c r="H6" s="616">
        <f t="shared" si="0"/>
        <v>99.50342696629214</v>
      </c>
    </row>
    <row r="7" spans="2:8" s="34" customFormat="1" ht="12.75">
      <c r="B7" s="60">
        <v>600</v>
      </c>
      <c r="C7" s="61"/>
      <c r="D7" s="61"/>
      <c r="E7" s="62" t="s">
        <v>107</v>
      </c>
      <c r="F7" s="58">
        <f>F8</f>
        <v>117018</v>
      </c>
      <c r="G7" s="58">
        <f>G8</f>
        <v>117017.22</v>
      </c>
      <c r="H7" s="622">
        <f t="shared" si="0"/>
        <v>99.99933343588165</v>
      </c>
    </row>
    <row r="8" spans="2:8" s="63" customFormat="1" ht="12.75">
      <c r="B8" s="618"/>
      <c r="C8" s="42">
        <v>60014</v>
      </c>
      <c r="D8" s="42"/>
      <c r="E8" s="43" t="s">
        <v>108</v>
      </c>
      <c r="F8" s="46">
        <f>F9</f>
        <v>117018</v>
      </c>
      <c r="G8" s="64">
        <f>G9</f>
        <v>117017.22</v>
      </c>
      <c r="H8" s="620">
        <f t="shared" si="0"/>
        <v>99.99933343588165</v>
      </c>
    </row>
    <row r="9" spans="2:8" s="63" customFormat="1" ht="51">
      <c r="B9" s="618"/>
      <c r="C9" s="42"/>
      <c r="D9" s="48">
        <v>2710</v>
      </c>
      <c r="E9" s="49" t="s">
        <v>1211</v>
      </c>
      <c r="F9" s="52">
        <v>117018</v>
      </c>
      <c r="G9" s="53">
        <v>117017.22</v>
      </c>
      <c r="H9" s="616">
        <f t="shared" si="0"/>
        <v>99.99933343588165</v>
      </c>
    </row>
    <row r="10" spans="2:8" s="34" customFormat="1" ht="12.75">
      <c r="B10" s="60">
        <v>700</v>
      </c>
      <c r="C10" s="61"/>
      <c r="D10" s="61"/>
      <c r="E10" s="62" t="s">
        <v>113</v>
      </c>
      <c r="F10" s="58">
        <f>F11</f>
        <v>342240</v>
      </c>
      <c r="G10" s="58">
        <f>G11</f>
        <v>342240</v>
      </c>
      <c r="H10" s="622">
        <f t="shared" si="0"/>
        <v>100</v>
      </c>
    </row>
    <row r="11" spans="2:8" s="34" customFormat="1" ht="25.5">
      <c r="B11" s="40"/>
      <c r="C11" s="42">
        <v>70004</v>
      </c>
      <c r="D11" s="42"/>
      <c r="E11" s="43" t="s">
        <v>393</v>
      </c>
      <c r="F11" s="46">
        <f>SUM(F12:F12)</f>
        <v>342240</v>
      </c>
      <c r="G11" s="44">
        <f>SUM(G12:G12)</f>
        <v>342240</v>
      </c>
      <c r="H11" s="620">
        <f t="shared" si="0"/>
        <v>100</v>
      </c>
    </row>
    <row r="12" spans="2:8" s="28" customFormat="1" ht="25.5">
      <c r="B12" s="619"/>
      <c r="C12" s="71"/>
      <c r="D12" s="48">
        <v>2650</v>
      </c>
      <c r="E12" s="49" t="s">
        <v>394</v>
      </c>
      <c r="F12" s="52">
        <v>342240</v>
      </c>
      <c r="G12" s="53">
        <v>342240</v>
      </c>
      <c r="H12" s="616">
        <f t="shared" si="0"/>
        <v>100</v>
      </c>
    </row>
    <row r="13" spans="2:8" s="28" customFormat="1" ht="12.75">
      <c r="B13" s="60">
        <v>750</v>
      </c>
      <c r="C13" s="61"/>
      <c r="D13" s="61"/>
      <c r="E13" s="62" t="s">
        <v>125</v>
      </c>
      <c r="F13" s="58">
        <f>F14</f>
        <v>1000</v>
      </c>
      <c r="G13" s="58">
        <f>G14</f>
        <v>1000</v>
      </c>
      <c r="H13" s="622">
        <f t="shared" si="0"/>
        <v>100</v>
      </c>
    </row>
    <row r="14" spans="2:8" s="28" customFormat="1" ht="12.75">
      <c r="B14" s="619"/>
      <c r="C14" s="42">
        <v>75022</v>
      </c>
      <c r="D14" s="42"/>
      <c r="E14" s="43" t="s">
        <v>526</v>
      </c>
      <c r="F14" s="46">
        <f>F15</f>
        <v>1000</v>
      </c>
      <c r="G14" s="44">
        <f>G15</f>
        <v>1000</v>
      </c>
      <c r="H14" s="620">
        <f t="shared" si="0"/>
        <v>100</v>
      </c>
    </row>
    <row r="15" spans="2:8" s="28" customFormat="1" ht="51">
      <c r="B15" s="619"/>
      <c r="C15" s="42"/>
      <c r="D15" s="48">
        <v>2710</v>
      </c>
      <c r="E15" s="49" t="s">
        <v>1211</v>
      </c>
      <c r="F15" s="52">
        <v>1000</v>
      </c>
      <c r="G15" s="53">
        <v>1000</v>
      </c>
      <c r="H15" s="616">
        <f t="shared" si="0"/>
        <v>100</v>
      </c>
    </row>
    <row r="16" spans="2:8" s="28" customFormat="1" ht="12.75">
      <c r="B16" s="60">
        <v>801</v>
      </c>
      <c r="C16" s="61"/>
      <c r="D16" s="61"/>
      <c r="E16" s="62" t="s">
        <v>350</v>
      </c>
      <c r="F16" s="58">
        <f>F17</f>
        <v>192482</v>
      </c>
      <c r="G16" s="58">
        <f>G17</f>
        <v>192481.93</v>
      </c>
      <c r="H16" s="622">
        <f t="shared" si="0"/>
        <v>99.99996363296309</v>
      </c>
    </row>
    <row r="17" spans="2:8" s="28" customFormat="1" ht="12.75">
      <c r="B17" s="619"/>
      <c r="C17" s="42">
        <v>80104</v>
      </c>
      <c r="D17" s="42"/>
      <c r="E17" s="43" t="s">
        <v>354</v>
      </c>
      <c r="F17" s="46">
        <f>F18</f>
        <v>192482</v>
      </c>
      <c r="G17" s="44">
        <f>G18</f>
        <v>192481.93</v>
      </c>
      <c r="H17" s="620">
        <f t="shared" si="0"/>
        <v>99.99996363296309</v>
      </c>
    </row>
    <row r="18" spans="2:8" s="28" customFormat="1" ht="12.75">
      <c r="B18" s="619"/>
      <c r="C18" s="48"/>
      <c r="D18" s="48">
        <v>2540</v>
      </c>
      <c r="E18" s="49" t="s">
        <v>587</v>
      </c>
      <c r="F18" s="52">
        <v>192482</v>
      </c>
      <c r="G18" s="53">
        <v>192481.93</v>
      </c>
      <c r="H18" s="616">
        <f t="shared" si="0"/>
        <v>99.99996363296309</v>
      </c>
    </row>
    <row r="19" spans="2:8" s="28" customFormat="1" ht="15" customHeight="1">
      <c r="B19" s="60">
        <v>851</v>
      </c>
      <c r="C19" s="78"/>
      <c r="D19" s="78"/>
      <c r="E19" s="62" t="s">
        <v>573</v>
      </c>
      <c r="F19" s="58">
        <f>F20</f>
        <v>13000</v>
      </c>
      <c r="G19" s="58">
        <f>G20</f>
        <v>4607.13</v>
      </c>
      <c r="H19" s="622">
        <f t="shared" si="0"/>
        <v>35.439461538461536</v>
      </c>
    </row>
    <row r="20" spans="2:8" s="28" customFormat="1" ht="17.25" customHeight="1">
      <c r="B20" s="619"/>
      <c r="C20" s="42">
        <v>85154</v>
      </c>
      <c r="D20" s="42"/>
      <c r="E20" s="43" t="s">
        <v>574</v>
      </c>
      <c r="F20" s="46">
        <f>F21</f>
        <v>13000</v>
      </c>
      <c r="G20" s="44">
        <f>G21</f>
        <v>4607.13</v>
      </c>
      <c r="H20" s="620">
        <f t="shared" si="0"/>
        <v>35.439461538461536</v>
      </c>
    </row>
    <row r="21" spans="2:8" s="28" customFormat="1" ht="41.25" customHeight="1">
      <c r="B21" s="619"/>
      <c r="C21" s="42"/>
      <c r="D21" s="48">
        <v>2820</v>
      </c>
      <c r="E21" s="49" t="s">
        <v>575</v>
      </c>
      <c r="F21" s="52">
        <v>13000</v>
      </c>
      <c r="G21" s="53">
        <v>4607.13</v>
      </c>
      <c r="H21" s="616">
        <f t="shared" si="0"/>
        <v>35.439461538461536</v>
      </c>
    </row>
    <row r="22" spans="2:8" s="34" customFormat="1" ht="25.5">
      <c r="B22" s="60">
        <v>921</v>
      </c>
      <c r="C22" s="61"/>
      <c r="D22" s="61"/>
      <c r="E22" s="62" t="s">
        <v>1164</v>
      </c>
      <c r="F22" s="58">
        <f>F23+F25</f>
        <v>575500</v>
      </c>
      <c r="G22" s="58">
        <f>G23+G25</f>
        <v>575500</v>
      </c>
      <c r="H22" s="622">
        <f t="shared" si="0"/>
        <v>100</v>
      </c>
    </row>
    <row r="23" spans="2:8" s="34" customFormat="1" ht="25.5">
      <c r="B23" s="40"/>
      <c r="C23" s="42">
        <v>92109</v>
      </c>
      <c r="D23" s="42"/>
      <c r="E23" s="43" t="s">
        <v>702</v>
      </c>
      <c r="F23" s="46">
        <f>SUM(F24:F24)</f>
        <v>230500</v>
      </c>
      <c r="G23" s="44">
        <f>SUM(G24:G24)</f>
        <v>230500</v>
      </c>
      <c r="H23" s="620">
        <f t="shared" si="0"/>
        <v>100</v>
      </c>
    </row>
    <row r="24" spans="2:8" s="34" customFormat="1" ht="30.75" customHeight="1">
      <c r="B24" s="40"/>
      <c r="C24" s="48"/>
      <c r="D24" s="48">
        <v>2480</v>
      </c>
      <c r="E24" s="49" t="s">
        <v>703</v>
      </c>
      <c r="F24" s="52">
        <v>230500</v>
      </c>
      <c r="G24" s="53">
        <v>230500</v>
      </c>
      <c r="H24" s="616">
        <f t="shared" si="0"/>
        <v>100</v>
      </c>
    </row>
    <row r="25" spans="2:8" s="34" customFormat="1" ht="18" customHeight="1">
      <c r="B25" s="40"/>
      <c r="C25" s="42">
        <v>92116</v>
      </c>
      <c r="D25" s="42"/>
      <c r="E25" s="43" t="s">
        <v>1165</v>
      </c>
      <c r="F25" s="46">
        <f>SUM(F26:F26)</f>
        <v>345000</v>
      </c>
      <c r="G25" s="44">
        <f>SUM(G26:G26)</f>
        <v>345000</v>
      </c>
      <c r="H25" s="620">
        <f t="shared" si="0"/>
        <v>100</v>
      </c>
    </row>
    <row r="26" spans="2:8" s="34" customFormat="1" ht="29.25" customHeight="1">
      <c r="B26" s="40"/>
      <c r="C26" s="48"/>
      <c r="D26" s="48">
        <v>2480</v>
      </c>
      <c r="E26" s="49" t="s">
        <v>703</v>
      </c>
      <c r="F26" s="52">
        <v>345000</v>
      </c>
      <c r="G26" s="53">
        <v>345000</v>
      </c>
      <c r="H26" s="616">
        <f t="shared" si="0"/>
        <v>100</v>
      </c>
    </row>
    <row r="27" spans="2:8" s="34" customFormat="1" ht="12.75">
      <c r="B27" s="60">
        <v>926</v>
      </c>
      <c r="C27" s="61"/>
      <c r="D27" s="61"/>
      <c r="E27" s="62" t="s">
        <v>704</v>
      </c>
      <c r="F27" s="58">
        <f>F28</f>
        <v>35700</v>
      </c>
      <c r="G27" s="58">
        <f>G28</f>
        <v>35700</v>
      </c>
      <c r="H27" s="622">
        <f t="shared" si="0"/>
        <v>100</v>
      </c>
    </row>
    <row r="28" spans="2:8" s="34" customFormat="1" ht="25.5">
      <c r="B28" s="40"/>
      <c r="C28" s="42">
        <v>92605</v>
      </c>
      <c r="D28" s="42"/>
      <c r="E28" s="43" t="s">
        <v>705</v>
      </c>
      <c r="F28" s="46">
        <f>SUM(F29:F29)</f>
        <v>35700</v>
      </c>
      <c r="G28" s="44">
        <f>SUM(G29:G29)</f>
        <v>35700</v>
      </c>
      <c r="H28" s="620">
        <f t="shared" si="0"/>
        <v>100</v>
      </c>
    </row>
    <row r="29" spans="2:8" s="34" customFormat="1" ht="38.25">
      <c r="B29" s="40"/>
      <c r="C29" s="42"/>
      <c r="D29" s="48">
        <v>2820</v>
      </c>
      <c r="E29" s="49" t="s">
        <v>575</v>
      </c>
      <c r="F29" s="52">
        <v>35700</v>
      </c>
      <c r="G29" s="53">
        <v>35700</v>
      </c>
      <c r="H29" s="616">
        <f t="shared" si="0"/>
        <v>100</v>
      </c>
    </row>
    <row r="30" spans="2:8" s="34" customFormat="1" ht="13.5" thickBot="1">
      <c r="B30" s="623"/>
      <c r="C30" s="624"/>
      <c r="D30" s="624"/>
      <c r="E30" s="625" t="s">
        <v>1176</v>
      </c>
      <c r="F30" s="626">
        <f>F4+F7+F10+F22+F27+F16+F19+F13</f>
        <v>1294740</v>
      </c>
      <c r="G30" s="626">
        <f>G4+G7+G10+G22+G27+G16+G19+G13</f>
        <v>1286257.89</v>
      </c>
      <c r="H30" s="734">
        <f t="shared" si="0"/>
        <v>99.34487928078224</v>
      </c>
    </row>
    <row r="31" spans="6:8" s="34" customFormat="1" ht="15">
      <c r="F31" s="84"/>
      <c r="G31" s="630"/>
      <c r="H31" s="630"/>
    </row>
    <row r="32" ht="12.75">
      <c r="F32" s="30"/>
    </row>
    <row r="33" ht="12.75">
      <c r="F33" s="30"/>
    </row>
    <row r="34" ht="12.75">
      <c r="F34" s="30"/>
    </row>
    <row r="35" ht="12.75">
      <c r="F35" s="30"/>
    </row>
    <row r="36" ht="12.75">
      <c r="F36" s="30"/>
    </row>
    <row r="37" ht="12.75">
      <c r="F37" s="30"/>
    </row>
    <row r="38" ht="12.75">
      <c r="F38" s="30"/>
    </row>
    <row r="39" ht="12.75">
      <c r="F39" s="30"/>
    </row>
    <row r="40" ht="12.75">
      <c r="F40" s="30"/>
    </row>
    <row r="41" ht="12.75">
      <c r="F41" s="30"/>
    </row>
    <row r="42" ht="12.75">
      <c r="F42" s="30"/>
    </row>
    <row r="43" ht="12.75">
      <c r="F43" s="30"/>
    </row>
    <row r="44" ht="12.75">
      <c r="F44" s="30"/>
    </row>
    <row r="45" ht="12.75">
      <c r="F45" s="30"/>
    </row>
    <row r="46" ht="12.75">
      <c r="F46" s="30"/>
    </row>
    <row r="47" ht="12.75">
      <c r="F47" s="30"/>
    </row>
    <row r="48" ht="12.75">
      <c r="F48" s="30"/>
    </row>
    <row r="49" ht="12.75">
      <c r="F49" s="30"/>
    </row>
    <row r="50" ht="12.75">
      <c r="F50" s="30"/>
    </row>
    <row r="51" ht="12.75">
      <c r="F51" s="30"/>
    </row>
    <row r="52" ht="12.75">
      <c r="F52" s="30"/>
    </row>
    <row r="53" ht="12.75">
      <c r="F53" s="30"/>
    </row>
    <row r="54" ht="12.75">
      <c r="F54" s="30"/>
    </row>
    <row r="55" ht="12.75">
      <c r="F55" s="30"/>
    </row>
    <row r="56" ht="12.75">
      <c r="F56" s="30"/>
    </row>
    <row r="57" ht="12.75">
      <c r="F57" s="30"/>
    </row>
    <row r="58" ht="12.75">
      <c r="F58" s="30"/>
    </row>
    <row r="59" ht="12.75">
      <c r="F59" s="30"/>
    </row>
    <row r="60" ht="12.75">
      <c r="F60" s="30"/>
    </row>
    <row r="61" ht="12.75">
      <c r="F61" s="30"/>
    </row>
    <row r="62" ht="12.75">
      <c r="F62" s="30"/>
    </row>
    <row r="63" ht="12.75">
      <c r="F63" s="30"/>
    </row>
    <row r="64" ht="12.75">
      <c r="F64" s="30"/>
    </row>
    <row r="65" ht="12.75">
      <c r="F65" s="30"/>
    </row>
    <row r="66" ht="12.75">
      <c r="F66" s="30"/>
    </row>
    <row r="67" ht="12.75">
      <c r="F67" s="30"/>
    </row>
    <row r="68" ht="12.75">
      <c r="F68" s="30"/>
    </row>
    <row r="69" ht="12.75">
      <c r="F69" s="30"/>
    </row>
    <row r="70" ht="12.75">
      <c r="F70" s="30"/>
    </row>
    <row r="71" ht="12.75">
      <c r="F71" s="30"/>
    </row>
    <row r="72" ht="12.75">
      <c r="F72" s="30"/>
    </row>
    <row r="73" ht="12.75">
      <c r="F73" s="30"/>
    </row>
    <row r="74" ht="12.75">
      <c r="F74" s="30"/>
    </row>
    <row r="75" ht="12.75">
      <c r="F75" s="30"/>
    </row>
    <row r="76" ht="12.75">
      <c r="F76" s="30"/>
    </row>
    <row r="77" ht="12.75">
      <c r="F77" s="30"/>
    </row>
    <row r="78" ht="12.75">
      <c r="F78" s="30"/>
    </row>
    <row r="79" ht="12.75">
      <c r="F79" s="30"/>
    </row>
    <row r="80" ht="12.75">
      <c r="F80" s="30"/>
    </row>
    <row r="81" ht="12.75">
      <c r="F81" s="30"/>
    </row>
    <row r="82" ht="12.75">
      <c r="F82" s="30"/>
    </row>
    <row r="83" ht="12.75">
      <c r="F83" s="30"/>
    </row>
    <row r="84" ht="12.75">
      <c r="F84" s="30"/>
    </row>
    <row r="85" ht="12.75">
      <c r="F85" s="30"/>
    </row>
    <row r="86" ht="12.75">
      <c r="F86" s="30"/>
    </row>
    <row r="87" ht="12.75">
      <c r="F87" s="30"/>
    </row>
    <row r="88" ht="12.75">
      <c r="F88" s="30"/>
    </row>
    <row r="89" ht="12.75">
      <c r="F89" s="30"/>
    </row>
  </sheetData>
  <mergeCells count="1">
    <mergeCell ref="G1:H1"/>
  </mergeCells>
  <printOptions horizontalCentered="1"/>
  <pageMargins left="0.15748031496062992" right="0.15748031496062992" top="0.5118110236220472" bottom="0.472440944881889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L612"/>
  <sheetViews>
    <sheetView tabSelected="1" zoomScale="150" zoomScaleNormal="150" workbookViewId="0" topLeftCell="A389">
      <selection activeCell="E103" sqref="E103:E104"/>
    </sheetView>
  </sheetViews>
  <sheetFormatPr defaultColWidth="9.140625" defaultRowHeight="12.75"/>
  <cols>
    <col min="1" max="1" width="75.7109375" style="34" customWidth="1"/>
    <col min="2" max="2" width="5.7109375" style="24" hidden="1" customWidth="1"/>
    <col min="3" max="3" width="23.7109375" style="88" hidden="1" customWidth="1"/>
    <col min="4" max="4" width="0.2890625" style="24" hidden="1" customWidth="1"/>
    <col min="5" max="5" width="17.8515625" style="88" customWidth="1"/>
    <col min="6" max="6" width="14.8515625" style="88" bestFit="1" customWidth="1"/>
    <col min="7" max="7" width="20.7109375" style="88" customWidth="1"/>
    <col min="8" max="11" width="9.140625" style="88" customWidth="1"/>
    <col min="12" max="16384" width="9.140625" style="24" customWidth="1"/>
  </cols>
  <sheetData>
    <row r="1" spans="5:6" ht="12.75">
      <c r="E1" s="735" t="s">
        <v>600</v>
      </c>
      <c r="F1" s="736"/>
    </row>
    <row r="2" spans="1:5" ht="26.25" customHeight="1">
      <c r="A2" s="744" t="s">
        <v>403</v>
      </c>
      <c r="B2" s="744"/>
      <c r="C2" s="744"/>
      <c r="D2" s="744"/>
      <c r="E2" s="744"/>
    </row>
    <row r="4" spans="1:11" s="92" customFormat="1" ht="15.75">
      <c r="A4" s="91" t="s">
        <v>706</v>
      </c>
      <c r="C4" s="93"/>
      <c r="E4" s="94">
        <f>E6+E37+E54+E66+E74+E114+E127+E133+E152+E340+E360+E445+E458+E464+E108+E438+E42</f>
        <v>17842071.990000002</v>
      </c>
      <c r="F4" s="93"/>
      <c r="G4" s="93"/>
      <c r="H4" s="93"/>
      <c r="I4" s="93"/>
      <c r="J4" s="93"/>
      <c r="K4" s="93"/>
    </row>
    <row r="6" spans="1:5" ht="15.75">
      <c r="A6" s="95" t="s">
        <v>707</v>
      </c>
      <c r="C6" s="96">
        <v>1233650.42</v>
      </c>
      <c r="E6" s="96">
        <f>SUM(E9:E35)</f>
        <v>1202548.3000000003</v>
      </c>
    </row>
    <row r="7" ht="15.75">
      <c r="A7" s="85"/>
    </row>
    <row r="8" ht="15.75">
      <c r="A8" s="85" t="s">
        <v>708</v>
      </c>
    </row>
    <row r="9" spans="1:5" ht="15.75">
      <c r="A9" s="97" t="s">
        <v>709</v>
      </c>
      <c r="C9" s="93">
        <v>41163.41</v>
      </c>
      <c r="E9" s="745">
        <v>51205.8</v>
      </c>
    </row>
    <row r="10" spans="1:5" ht="126">
      <c r="A10" s="97" t="s">
        <v>404</v>
      </c>
      <c r="E10" s="745"/>
    </row>
    <row r="11" spans="1:5" ht="15.75">
      <c r="A11" s="99" t="s">
        <v>710</v>
      </c>
      <c r="E11" s="98">
        <v>2854.31</v>
      </c>
    </row>
    <row r="12" spans="1:5" ht="15.75">
      <c r="A12" s="99" t="s">
        <v>736</v>
      </c>
      <c r="C12" s="100"/>
      <c r="E12" s="100">
        <v>5682</v>
      </c>
    </row>
    <row r="13" spans="1:5" ht="15.75">
      <c r="A13" s="99" t="s">
        <v>405</v>
      </c>
      <c r="C13" s="100"/>
      <c r="E13" s="100">
        <v>17541.55</v>
      </c>
    </row>
    <row r="14" spans="1:5" ht="15.75">
      <c r="A14" s="99" t="s">
        <v>406</v>
      </c>
      <c r="C14" s="100"/>
      <c r="E14" s="100">
        <v>40300</v>
      </c>
    </row>
    <row r="15" spans="1:5" ht="15.75">
      <c r="A15" s="99" t="s">
        <v>407</v>
      </c>
      <c r="C15" s="100"/>
      <c r="E15" s="100">
        <v>4426.55</v>
      </c>
    </row>
    <row r="16" spans="1:5" ht="15.75">
      <c r="A16" s="99" t="s">
        <v>737</v>
      </c>
      <c r="C16" s="100"/>
      <c r="E16" s="100">
        <v>35666</v>
      </c>
    </row>
    <row r="17" spans="1:5" ht="15.75">
      <c r="A17" s="99" t="s">
        <v>443</v>
      </c>
      <c r="C17" s="100"/>
      <c r="E17" s="100">
        <v>10000</v>
      </c>
    </row>
    <row r="18" spans="1:5" ht="15.75">
      <c r="A18" s="99" t="s">
        <v>686</v>
      </c>
      <c r="C18" s="100"/>
      <c r="E18" s="100">
        <v>31706.25</v>
      </c>
    </row>
    <row r="19" spans="1:5" ht="15.75">
      <c r="A19" s="99" t="s">
        <v>444</v>
      </c>
      <c r="C19" s="100"/>
      <c r="E19" s="100">
        <v>31504.11</v>
      </c>
    </row>
    <row r="20" spans="1:5" ht="15.75">
      <c r="A20" s="99" t="s">
        <v>445</v>
      </c>
      <c r="C20" s="100"/>
      <c r="E20" s="100">
        <v>7700.55</v>
      </c>
    </row>
    <row r="21" spans="1:5" ht="15.75">
      <c r="A21" s="99" t="s">
        <v>446</v>
      </c>
      <c r="C21" s="100"/>
      <c r="E21" s="100">
        <v>12040</v>
      </c>
    </row>
    <row r="22" spans="1:5" ht="15.75">
      <c r="A22" s="99" t="s">
        <v>447</v>
      </c>
      <c r="C22" s="100"/>
      <c r="E22" s="100">
        <v>9600</v>
      </c>
    </row>
    <row r="23" spans="1:5" ht="15.75">
      <c r="A23" s="99" t="s">
        <v>448</v>
      </c>
      <c r="C23" s="100"/>
      <c r="E23" s="100">
        <v>28000</v>
      </c>
    </row>
    <row r="24" spans="1:5" ht="15.75">
      <c r="A24" s="99" t="s">
        <v>449</v>
      </c>
      <c r="C24" s="100"/>
      <c r="E24" s="100">
        <v>59980.8</v>
      </c>
    </row>
    <row r="25" spans="1:5" ht="15.75">
      <c r="A25" s="99" t="s">
        <v>450</v>
      </c>
      <c r="C25" s="100"/>
      <c r="E25" s="100">
        <v>61000</v>
      </c>
    </row>
    <row r="26" spans="1:11" s="102" customFormat="1" ht="15.75">
      <c r="A26" s="99" t="s">
        <v>451</v>
      </c>
      <c r="C26" s="100"/>
      <c r="E26" s="100">
        <v>303612.31</v>
      </c>
      <c r="F26" s="100"/>
      <c r="G26" s="100"/>
      <c r="H26" s="100"/>
      <c r="I26" s="100"/>
      <c r="J26" s="100"/>
      <c r="K26" s="100"/>
    </row>
    <row r="27" spans="1:11" s="102" customFormat="1" ht="31.5">
      <c r="A27" s="99" t="s">
        <v>453</v>
      </c>
      <c r="C27" s="100"/>
      <c r="E27" s="100">
        <v>36000</v>
      </c>
      <c r="F27" s="100"/>
      <c r="G27" s="100"/>
      <c r="H27" s="100"/>
      <c r="I27" s="100"/>
      <c r="J27" s="100"/>
      <c r="K27" s="100"/>
    </row>
    <row r="28" spans="1:11" s="102" customFormat="1" ht="15.75">
      <c r="A28" s="99" t="s">
        <v>452</v>
      </c>
      <c r="C28" s="100"/>
      <c r="E28" s="100">
        <v>122059.52</v>
      </c>
      <c r="F28" s="100"/>
      <c r="G28" s="100"/>
      <c r="H28" s="100"/>
      <c r="I28" s="100"/>
      <c r="J28" s="100"/>
      <c r="K28" s="100"/>
    </row>
    <row r="29" spans="1:11" s="102" customFormat="1" ht="36.75" customHeight="1">
      <c r="A29" s="99" t="s">
        <v>454</v>
      </c>
      <c r="C29" s="100"/>
      <c r="E29" s="100">
        <v>12500</v>
      </c>
      <c r="F29" s="100"/>
      <c r="G29" s="100"/>
      <c r="H29" s="100"/>
      <c r="I29" s="100"/>
      <c r="J29" s="100"/>
      <c r="K29" s="100"/>
    </row>
    <row r="30" spans="1:5" ht="15.75">
      <c r="A30" s="97" t="s">
        <v>738</v>
      </c>
      <c r="C30" s="100">
        <v>1284</v>
      </c>
      <c r="E30" s="100">
        <v>5136</v>
      </c>
    </row>
    <row r="31" spans="1:5" ht="15.75">
      <c r="A31" s="99" t="s">
        <v>687</v>
      </c>
      <c r="C31" s="93">
        <v>12915.96</v>
      </c>
      <c r="E31" s="100">
        <v>1147.67</v>
      </c>
    </row>
    <row r="32" spans="1:5" ht="15.75">
      <c r="A32" s="99" t="s">
        <v>455</v>
      </c>
      <c r="C32" s="93">
        <v>12915.96</v>
      </c>
      <c r="E32" s="100">
        <f>17711.61-E31</f>
        <v>16563.940000000002</v>
      </c>
    </row>
    <row r="33" spans="1:5" ht="15.75">
      <c r="A33" s="99" t="s">
        <v>741</v>
      </c>
      <c r="E33" s="100">
        <v>253952.8</v>
      </c>
    </row>
    <row r="34" spans="1:5" ht="15.75">
      <c r="A34" s="99" t="s">
        <v>742</v>
      </c>
      <c r="E34" s="100">
        <v>5079.06</v>
      </c>
    </row>
    <row r="35" spans="1:5" ht="15.75">
      <c r="A35" s="99" t="s">
        <v>456</v>
      </c>
      <c r="E35" s="100">
        <v>37289.08</v>
      </c>
    </row>
    <row r="36" ht="15.75">
      <c r="A36" s="91"/>
    </row>
    <row r="37" spans="1:5" ht="15.75">
      <c r="A37" s="95" t="s">
        <v>739</v>
      </c>
      <c r="C37" s="96">
        <v>2010</v>
      </c>
      <c r="E37" s="96">
        <f>E39+E40</f>
        <v>1980.6</v>
      </c>
    </row>
    <row r="38" ht="15.75">
      <c r="A38" s="85"/>
    </row>
    <row r="39" spans="1:5" ht="31.5">
      <c r="A39" s="99" t="s">
        <v>458</v>
      </c>
      <c r="E39" s="100">
        <v>1395</v>
      </c>
    </row>
    <row r="40" spans="1:5" ht="15.75">
      <c r="A40" s="99" t="s">
        <v>457</v>
      </c>
      <c r="E40" s="100">
        <v>585.6</v>
      </c>
    </row>
    <row r="42" spans="1:5" ht="15.75">
      <c r="A42" s="95" t="s">
        <v>740</v>
      </c>
      <c r="C42" s="96">
        <v>266390.92</v>
      </c>
      <c r="E42" s="96">
        <f>SUM(E45:E52)</f>
        <v>1342326.29</v>
      </c>
    </row>
    <row r="43" ht="15.75">
      <c r="A43" s="85"/>
    </row>
    <row r="44" ht="15.75">
      <c r="A44" s="85" t="s">
        <v>708</v>
      </c>
    </row>
    <row r="45" spans="1:5" ht="31.5">
      <c r="A45" s="99" t="s">
        <v>459</v>
      </c>
      <c r="E45" s="100">
        <v>149354</v>
      </c>
    </row>
    <row r="46" spans="1:5" ht="31.5">
      <c r="A46" s="99" t="s">
        <v>460</v>
      </c>
      <c r="E46" s="100">
        <v>117017.22</v>
      </c>
    </row>
    <row r="47" spans="1:6" ht="31.5">
      <c r="A47" s="99" t="s">
        <v>689</v>
      </c>
      <c r="E47" s="100">
        <v>2484.24</v>
      </c>
      <c r="F47" s="88">
        <f>E45+E46+E48</f>
        <v>1084829.0699999998</v>
      </c>
    </row>
    <row r="48" spans="1:5" ht="15.75">
      <c r="A48" s="99" t="s">
        <v>688</v>
      </c>
      <c r="E48" s="100">
        <v>818457.85</v>
      </c>
    </row>
    <row r="49" spans="1:5" ht="15.75">
      <c r="A49" s="99" t="s">
        <v>461</v>
      </c>
      <c r="E49" s="100">
        <v>147999.98</v>
      </c>
    </row>
    <row r="50" spans="1:5" ht="15.75">
      <c r="A50" s="99" t="s">
        <v>462</v>
      </c>
      <c r="E50" s="100">
        <v>40000</v>
      </c>
    </row>
    <row r="51" spans="1:5" ht="15.75">
      <c r="A51" s="99" t="s">
        <v>463</v>
      </c>
      <c r="E51" s="100">
        <v>17080</v>
      </c>
    </row>
    <row r="52" spans="1:5" ht="15.75">
      <c r="A52" s="99" t="s">
        <v>464</v>
      </c>
      <c r="E52" s="100">
        <v>49933</v>
      </c>
    </row>
    <row r="53" spans="1:5" ht="15.75">
      <c r="A53" s="99"/>
      <c r="E53" s="100"/>
    </row>
    <row r="54" spans="1:5" ht="15.75">
      <c r="A54" s="95" t="s">
        <v>743</v>
      </c>
      <c r="C54" s="96">
        <v>726277.2</v>
      </c>
      <c r="E54" s="96">
        <f>SUM(E57:E64)</f>
        <v>1507478.68</v>
      </c>
    </row>
    <row r="55" ht="15.75">
      <c r="A55" s="85"/>
    </row>
    <row r="56" ht="15.75">
      <c r="A56" s="85" t="s">
        <v>744</v>
      </c>
    </row>
    <row r="57" spans="1:5" ht="47.25">
      <c r="A57" s="99" t="s">
        <v>465</v>
      </c>
      <c r="C57" s="100">
        <v>593426.32</v>
      </c>
      <c r="E57" s="100">
        <v>342240</v>
      </c>
    </row>
    <row r="58" spans="1:5" ht="50.25" customHeight="1">
      <c r="A58" s="99" t="s">
        <v>408</v>
      </c>
      <c r="C58" s="100">
        <v>593426.32</v>
      </c>
      <c r="E58" s="100">
        <v>260470</v>
      </c>
    </row>
    <row r="59" spans="1:5" ht="78.75">
      <c r="A59" s="99" t="s">
        <v>409</v>
      </c>
      <c r="E59" s="100">
        <v>744604.4</v>
      </c>
    </row>
    <row r="60" spans="1:5" ht="15.75">
      <c r="A60" s="99" t="s">
        <v>410</v>
      </c>
      <c r="E60" s="100">
        <v>8850</v>
      </c>
    </row>
    <row r="61" spans="1:5" ht="15.75">
      <c r="A61" s="99" t="s">
        <v>745</v>
      </c>
      <c r="C61" s="93"/>
      <c r="E61" s="100">
        <f>18999.06+142.01+100.04+4248.04+5037.75+3246.42+1146.8+1144.12+382.59</f>
        <v>34446.83</v>
      </c>
    </row>
    <row r="62" spans="1:5" ht="15.75">
      <c r="A62" s="99" t="s">
        <v>690</v>
      </c>
      <c r="C62" s="93">
        <v>2440</v>
      </c>
      <c r="E62" s="100">
        <v>12</v>
      </c>
    </row>
    <row r="63" spans="1:5" ht="15.75">
      <c r="A63" s="99" t="s">
        <v>411</v>
      </c>
      <c r="C63" s="93"/>
      <c r="E63" s="100">
        <v>38918</v>
      </c>
    </row>
    <row r="64" spans="1:5" ht="31.5">
      <c r="A64" s="99" t="s">
        <v>127</v>
      </c>
      <c r="C64" s="100">
        <v>28011.83</v>
      </c>
      <c r="E64" s="100">
        <f>904768.68-E59-E60-E61-E62-E63</f>
        <v>77937.45000000003</v>
      </c>
    </row>
    <row r="65" ht="15.75">
      <c r="A65" s="23"/>
    </row>
    <row r="66" spans="1:5" ht="15.75">
      <c r="A66" s="95" t="s">
        <v>128</v>
      </c>
      <c r="C66" s="96">
        <v>857.45</v>
      </c>
      <c r="E66" s="96">
        <f>SUM(E69:E73)</f>
        <v>58509.600000000006</v>
      </c>
    </row>
    <row r="67" ht="15.75">
      <c r="A67" s="85"/>
    </row>
    <row r="68" ht="15.75">
      <c r="A68" s="97" t="s">
        <v>744</v>
      </c>
    </row>
    <row r="69" spans="1:12" ht="31.5">
      <c r="A69" s="101" t="s">
        <v>691</v>
      </c>
      <c r="E69" s="100">
        <v>19520</v>
      </c>
      <c r="L69" s="102"/>
    </row>
    <row r="70" spans="1:12" ht="31.5">
      <c r="A70" s="101" t="s">
        <v>129</v>
      </c>
      <c r="E70" s="100">
        <v>7950</v>
      </c>
      <c r="L70" s="102"/>
    </row>
    <row r="71" spans="1:12" ht="15.75">
      <c r="A71" s="101" t="s">
        <v>413</v>
      </c>
      <c r="E71" s="100">
        <f>31647.8-E70</f>
        <v>23697.8</v>
      </c>
      <c r="L71" s="102"/>
    </row>
    <row r="72" spans="1:12" ht="31.5">
      <c r="A72" s="101" t="s">
        <v>130</v>
      </c>
      <c r="E72" s="100">
        <v>6744</v>
      </c>
      <c r="L72" s="102"/>
    </row>
    <row r="73" spans="1:5" ht="31.5">
      <c r="A73" s="101" t="s">
        <v>412</v>
      </c>
      <c r="E73" s="100">
        <v>597.8</v>
      </c>
    </row>
    <row r="74" spans="1:5" ht="15.75">
      <c r="A74" s="95" t="s">
        <v>131</v>
      </c>
      <c r="C74" s="96">
        <v>2319975.97</v>
      </c>
      <c r="E74" s="96">
        <f>SUM(E77:E106)</f>
        <v>2519802.6700000004</v>
      </c>
    </row>
    <row r="75" ht="15.75">
      <c r="A75" s="85"/>
    </row>
    <row r="76" ht="15.75">
      <c r="A76" s="85" t="s">
        <v>744</v>
      </c>
    </row>
    <row r="77" spans="1:5" ht="15.75">
      <c r="A77" s="97" t="s">
        <v>132</v>
      </c>
      <c r="C77" s="93">
        <v>46144</v>
      </c>
      <c r="E77" s="100">
        <v>56100</v>
      </c>
    </row>
    <row r="78" spans="1:5" ht="45.75" customHeight="1">
      <c r="A78" s="99" t="s">
        <v>133</v>
      </c>
      <c r="C78" s="100">
        <v>108919.18</v>
      </c>
      <c r="E78" s="100">
        <f>214469.23-E79-E80-E81-E82-E83-E84</f>
        <v>155392.51</v>
      </c>
    </row>
    <row r="79" spans="1:5" ht="15.75">
      <c r="A79" s="99" t="s">
        <v>414</v>
      </c>
      <c r="C79" s="93">
        <v>54527.2</v>
      </c>
      <c r="E79" s="100">
        <f>1530+694+296+24.9+265.96+3455.04+3950+96+620+3757.72+520+1220+2480+1488.1+630+585</f>
        <v>21612.719999999998</v>
      </c>
    </row>
    <row r="80" spans="1:5" ht="15.75">
      <c r="A80" s="99" t="s">
        <v>692</v>
      </c>
      <c r="C80" s="93">
        <v>11400</v>
      </c>
      <c r="E80" s="100">
        <f>2440+2440+2440+2440+2440+2440+2440+2440</f>
        <v>19520</v>
      </c>
    </row>
    <row r="81" spans="1:5" ht="15.75">
      <c r="A81" s="99" t="s">
        <v>415</v>
      </c>
      <c r="C81" s="93"/>
      <c r="E81" s="100">
        <f>14000</f>
        <v>14000</v>
      </c>
    </row>
    <row r="82" spans="1:5" ht="31.5">
      <c r="A82" s="99" t="s">
        <v>416</v>
      </c>
      <c r="C82" s="93"/>
      <c r="E82" s="100">
        <v>1000</v>
      </c>
    </row>
    <row r="83" spans="1:5" ht="15.75">
      <c r="A83" s="99" t="s">
        <v>418</v>
      </c>
      <c r="C83" s="93"/>
      <c r="E83" s="100">
        <v>2745</v>
      </c>
    </row>
    <row r="84" spans="1:5" ht="15.75">
      <c r="A84" s="99" t="s">
        <v>417</v>
      </c>
      <c r="C84" s="93"/>
      <c r="E84" s="100">
        <v>199</v>
      </c>
    </row>
    <row r="85" spans="1:5" ht="31.5">
      <c r="A85" s="99" t="s">
        <v>873</v>
      </c>
      <c r="C85" s="93">
        <v>1014548.93</v>
      </c>
      <c r="E85" s="100">
        <f>1070887.13+80180.06+35739.44</f>
        <v>1186806.63</v>
      </c>
    </row>
    <row r="86" spans="1:5" ht="15.75">
      <c r="A86" s="97" t="s">
        <v>134</v>
      </c>
      <c r="C86" s="100">
        <v>191831.68</v>
      </c>
      <c r="E86" s="100">
        <f>166264.03+28322.03</f>
        <v>194586.06</v>
      </c>
    </row>
    <row r="87" spans="1:5" ht="15.75">
      <c r="A87" s="97" t="s">
        <v>135</v>
      </c>
      <c r="C87" s="100">
        <v>30960</v>
      </c>
      <c r="E87" s="100">
        <v>35520</v>
      </c>
    </row>
    <row r="88" spans="1:5" ht="15.75">
      <c r="A88" s="99" t="s">
        <v>33</v>
      </c>
      <c r="C88" s="93">
        <v>90120.77</v>
      </c>
      <c r="E88" s="100">
        <f>6429.4+15345.16+2013+600+1464+509.96+127340.12+478.62+4158.98</f>
        <v>158339.24</v>
      </c>
    </row>
    <row r="89" spans="1:5" ht="63">
      <c r="A89" s="99" t="s">
        <v>32</v>
      </c>
      <c r="C89" s="93">
        <v>5650</v>
      </c>
      <c r="E89" s="100">
        <f>1278.98+1421.3+69.99+23022.99+50.01+161.32+120.01+28.82+441.98+514.52+1134.6+4512.28+79.99+339+1049.58+1305.4+85.01+108.56+2806</f>
        <v>38530.34</v>
      </c>
    </row>
    <row r="90" spans="1:5" ht="15.75">
      <c r="A90" s="97" t="s">
        <v>136</v>
      </c>
      <c r="C90" s="93">
        <v>71080.78</v>
      </c>
      <c r="E90" s="100">
        <f>1932.48+323.91+737.1</f>
        <v>2993.49</v>
      </c>
    </row>
    <row r="91" spans="1:5" ht="15.75">
      <c r="A91" s="99" t="s">
        <v>874</v>
      </c>
      <c r="C91" s="100">
        <v>73726.65</v>
      </c>
      <c r="E91" s="100">
        <v>52057.4</v>
      </c>
    </row>
    <row r="92" spans="1:5" ht="15.75">
      <c r="A92" s="99" t="s">
        <v>419</v>
      </c>
      <c r="C92" s="100"/>
      <c r="E92" s="100">
        <v>45000</v>
      </c>
    </row>
    <row r="93" spans="1:5" ht="78.75">
      <c r="A93" s="99" t="s">
        <v>903</v>
      </c>
      <c r="C93" s="100">
        <v>348977.91</v>
      </c>
      <c r="E93" s="100">
        <f>2029585.1-E85-E86-E87-E88-E89-E90-E91-E92</f>
        <v>315751.9400000002</v>
      </c>
    </row>
    <row r="94" spans="1:5" ht="31.5">
      <c r="A94" s="99" t="s">
        <v>37</v>
      </c>
      <c r="C94" s="100">
        <v>2384.39</v>
      </c>
      <c r="E94" s="100">
        <f>219648.34-E95-E96-E97-E98-E99-E100-E101-E102-E103-E104-E105-E106</f>
        <v>46142.90000000001</v>
      </c>
    </row>
    <row r="95" spans="1:5" ht="34.5" customHeight="1">
      <c r="A95" s="99" t="s">
        <v>68</v>
      </c>
      <c r="C95" s="100"/>
      <c r="E95" s="100">
        <v>21000</v>
      </c>
    </row>
    <row r="96" spans="1:5" ht="15.75">
      <c r="A96" s="99" t="s">
        <v>34</v>
      </c>
      <c r="C96" s="100"/>
      <c r="E96" s="100">
        <v>15995.42</v>
      </c>
    </row>
    <row r="97" spans="1:5" ht="15.75">
      <c r="A97" s="99" t="s">
        <v>35</v>
      </c>
      <c r="C97" s="100"/>
      <c r="E97" s="100">
        <v>7200</v>
      </c>
    </row>
    <row r="98" spans="1:5" ht="104.25" customHeight="1">
      <c r="A98" s="99" t="s">
        <v>838</v>
      </c>
      <c r="C98" s="100"/>
      <c r="E98" s="100">
        <f>1878.6+2999.87+170+2135+2339+2320+10365+7350+1135.52</f>
        <v>30692.99</v>
      </c>
    </row>
    <row r="99" spans="1:5" ht="15.75">
      <c r="A99" s="99" t="s">
        <v>38</v>
      </c>
      <c r="C99" s="100"/>
      <c r="E99" s="100">
        <v>699.99</v>
      </c>
    </row>
    <row r="100" spans="1:5" ht="31.5">
      <c r="A100" s="99" t="s">
        <v>36</v>
      </c>
      <c r="C100" s="100"/>
      <c r="E100" s="100">
        <f>11793+3828+1513</f>
        <v>17134</v>
      </c>
    </row>
    <row r="101" spans="1:5" ht="47.25">
      <c r="A101" s="99" t="s">
        <v>904</v>
      </c>
      <c r="C101" s="100">
        <v>45294.72</v>
      </c>
      <c r="E101" s="100">
        <f>199.02+577.47+74.54+169.81+73.83+60.45+250.3+135.22+68.46+0.01+196.43+200.5+80.77+200.1+53.2+26.8+90.5+38.05+68.41+126.79+83.55+201.07+30.21+34.9+110.5+169.5+200+6.93+41.89+100.22+875+200+200+32+124.76+21.92+67.64+1350+200+230.37+116.95+199.4+104.29+99.8+100.58+42.39+157.92+199.1+200.83+925</f>
        <v>9117.380000000001</v>
      </c>
    </row>
    <row r="102" spans="1:5" ht="15.75">
      <c r="A102" s="99" t="s">
        <v>905</v>
      </c>
      <c r="C102" s="93">
        <v>4813.98</v>
      </c>
      <c r="E102" s="100">
        <f>136.64+107.65+136.64+136.64+88.79+136.64+136.64+93.17+136.64+136.64+82.22+136.64+73.82+136.64+136.64+78.57+136.64+136.64</f>
        <v>2163.8999999999996</v>
      </c>
    </row>
    <row r="103" spans="1:5" ht="15.75">
      <c r="A103" s="99" t="s">
        <v>906</v>
      </c>
      <c r="C103" s="93">
        <v>4813.98</v>
      </c>
      <c r="E103" s="100">
        <v>53222.65</v>
      </c>
    </row>
    <row r="104" spans="1:5" ht="15.75">
      <c r="A104" s="99" t="s">
        <v>39</v>
      </c>
      <c r="C104" s="93"/>
      <c r="E104" s="100">
        <v>4240</v>
      </c>
    </row>
    <row r="105" spans="1:5" ht="15.75">
      <c r="A105" s="99" t="s">
        <v>839</v>
      </c>
      <c r="C105" s="93"/>
      <c r="E105" s="100">
        <v>3001.2</v>
      </c>
    </row>
    <row r="106" spans="1:5" ht="15.75">
      <c r="A106" s="99" t="s">
        <v>875</v>
      </c>
      <c r="C106" s="93"/>
      <c r="E106" s="100">
        <f>111.96+3233+1350+94.97+500+138+610+121.94+5.9+736.83+89.9+910+369.42+118.01+490+157.98</f>
        <v>9037.909999999998</v>
      </c>
    </row>
    <row r="107" ht="15.75">
      <c r="A107" s="23"/>
    </row>
    <row r="108" spans="1:5" ht="31.5">
      <c r="A108" s="20" t="s">
        <v>907</v>
      </c>
      <c r="C108" s="96">
        <v>9910.15</v>
      </c>
      <c r="E108" s="96">
        <f>E111+E112</f>
        <v>12060</v>
      </c>
    </row>
    <row r="109" spans="1:5" ht="15.75">
      <c r="A109" s="20"/>
      <c r="C109" s="96"/>
      <c r="E109" s="96"/>
    </row>
    <row r="110" ht="15.75">
      <c r="A110" s="85" t="s">
        <v>744</v>
      </c>
    </row>
    <row r="111" spans="1:5" ht="15.75">
      <c r="A111" s="97" t="s">
        <v>908</v>
      </c>
      <c r="C111" s="100">
        <v>1050</v>
      </c>
      <c r="E111" s="100">
        <v>1095</v>
      </c>
    </row>
    <row r="112" spans="1:5" ht="31.5">
      <c r="A112" s="99" t="s">
        <v>305</v>
      </c>
      <c r="C112" s="100">
        <v>8860.15</v>
      </c>
      <c r="E112" s="100">
        <v>10965</v>
      </c>
    </row>
    <row r="113" ht="15.75">
      <c r="A113" s="91"/>
    </row>
    <row r="114" spans="1:5" ht="31.5">
      <c r="A114" s="20" t="s">
        <v>909</v>
      </c>
      <c r="E114" s="96">
        <f>SUM(E117:E125)</f>
        <v>172555.40000000002</v>
      </c>
    </row>
    <row r="115" spans="3:5" ht="15.75">
      <c r="C115" s="96">
        <v>169744.09</v>
      </c>
      <c r="E115" s="24"/>
    </row>
    <row r="116" ht="15.75">
      <c r="A116" s="85" t="s">
        <v>744</v>
      </c>
    </row>
    <row r="117" spans="1:5" ht="31.5">
      <c r="A117" s="99" t="s">
        <v>233</v>
      </c>
      <c r="C117" s="100">
        <v>82818.52</v>
      </c>
      <c r="E117" s="100">
        <v>2000</v>
      </c>
    </row>
    <row r="118" spans="1:5" ht="15.75">
      <c r="A118" s="99" t="s">
        <v>840</v>
      </c>
      <c r="C118" s="100"/>
      <c r="E118" s="100">
        <v>53000</v>
      </c>
    </row>
    <row r="119" spans="1:5" ht="51.75" customHeight="1">
      <c r="A119" s="103" t="s">
        <v>911</v>
      </c>
      <c r="C119" s="100">
        <v>82818.52</v>
      </c>
      <c r="E119" s="100">
        <v>7457.06</v>
      </c>
    </row>
    <row r="120" spans="1:5" ht="31.5">
      <c r="A120" s="99" t="s">
        <v>878</v>
      </c>
      <c r="C120" s="100">
        <v>82818.52</v>
      </c>
      <c r="E120" s="100">
        <f>1575+289.6+126+234+453.84+890+28+1375.35</f>
        <v>4971.79</v>
      </c>
    </row>
    <row r="121" spans="1:5" ht="15.75">
      <c r="A121" s="99" t="s">
        <v>879</v>
      </c>
      <c r="C121" s="100"/>
      <c r="E121" s="100">
        <f>300+976</f>
        <v>1276</v>
      </c>
    </row>
    <row r="122" spans="1:5" ht="15.75">
      <c r="A122" s="97" t="s">
        <v>912</v>
      </c>
      <c r="C122" s="100">
        <v>82818.52</v>
      </c>
      <c r="E122" s="100">
        <f>112773-E119-E120-E121-E123-E124</f>
        <v>86324.86000000002</v>
      </c>
    </row>
    <row r="123" spans="1:5" ht="31.5">
      <c r="A123" s="99" t="s">
        <v>877</v>
      </c>
      <c r="C123" s="100">
        <v>82818.52</v>
      </c>
      <c r="E123" s="100">
        <f>3776.69+1200.18+558.62+102+667.5+1402.15</f>
        <v>7707.139999999999</v>
      </c>
    </row>
    <row r="124" spans="1:5" ht="31.5">
      <c r="A124" s="99" t="s">
        <v>913</v>
      </c>
      <c r="C124" s="100">
        <v>82818.52</v>
      </c>
      <c r="E124" s="100">
        <f>107.87+52.95+152.1+15.84+2400+262.1+807.3+396.07+223.48+618.44</f>
        <v>5036.15</v>
      </c>
    </row>
    <row r="125" spans="1:5" ht="15.75">
      <c r="A125" s="99" t="s">
        <v>876</v>
      </c>
      <c r="C125" s="93">
        <v>3396.94</v>
      </c>
      <c r="E125" s="100">
        <v>4782.4</v>
      </c>
    </row>
    <row r="126" ht="15.75">
      <c r="A126" s="91"/>
    </row>
    <row r="127" spans="1:5" ht="47.25">
      <c r="A127" s="95" t="s">
        <v>914</v>
      </c>
      <c r="C127" s="96">
        <v>34564.06</v>
      </c>
      <c r="E127" s="96">
        <f>SUM(E129:E131)</f>
        <v>41469.36</v>
      </c>
    </row>
    <row r="128" ht="15.75">
      <c r="A128" s="85" t="s">
        <v>744</v>
      </c>
    </row>
    <row r="129" spans="1:5" ht="15.75">
      <c r="A129" s="97" t="s">
        <v>915</v>
      </c>
      <c r="C129" s="100">
        <v>32789.65</v>
      </c>
      <c r="E129" s="100">
        <v>38896.83</v>
      </c>
    </row>
    <row r="130" spans="1:5" ht="15.75">
      <c r="A130" s="104" t="s">
        <v>916</v>
      </c>
      <c r="C130" s="93" t="s">
        <v>917</v>
      </c>
      <c r="E130" s="98">
        <v>305</v>
      </c>
    </row>
    <row r="131" spans="1:5" ht="15.75">
      <c r="A131" s="105" t="s">
        <v>918</v>
      </c>
      <c r="C131" s="93">
        <v>1684.74</v>
      </c>
      <c r="E131" s="100">
        <v>2267.53</v>
      </c>
    </row>
    <row r="132" ht="15.75">
      <c r="A132" s="91"/>
    </row>
    <row r="133" spans="1:5" ht="31.5">
      <c r="A133" s="95" t="s">
        <v>919</v>
      </c>
      <c r="E133" s="96">
        <f>SUM(E134:E139)</f>
        <v>165872.38</v>
      </c>
    </row>
    <row r="134" spans="1:5" ht="47.25">
      <c r="A134" s="99" t="s">
        <v>920</v>
      </c>
      <c r="C134" s="100">
        <v>83155.13</v>
      </c>
      <c r="E134" s="100">
        <v>2086.63</v>
      </c>
    </row>
    <row r="135" spans="1:5" ht="47.25">
      <c r="A135" s="99" t="s">
        <v>155</v>
      </c>
      <c r="C135" s="100"/>
      <c r="E135" s="100">
        <v>124270.86</v>
      </c>
    </row>
    <row r="136" spans="1:5" ht="31.5">
      <c r="A136" s="99" t="s">
        <v>69</v>
      </c>
      <c r="C136" s="100"/>
      <c r="E136" s="100">
        <v>6629.24</v>
      </c>
    </row>
    <row r="137" spans="1:5" ht="63">
      <c r="A137" s="99" t="s">
        <v>156</v>
      </c>
      <c r="C137" s="100"/>
      <c r="E137" s="100">
        <v>393.94</v>
      </c>
    </row>
    <row r="138" spans="1:5" ht="15.75">
      <c r="A138" s="99" t="s">
        <v>157</v>
      </c>
      <c r="C138" s="100">
        <v>83155.13</v>
      </c>
      <c r="E138" s="100">
        <v>32257.46</v>
      </c>
    </row>
    <row r="139" spans="1:5" ht="31.5">
      <c r="A139" s="99" t="s">
        <v>841</v>
      </c>
      <c r="C139" s="100"/>
      <c r="E139" s="100">
        <v>234.25</v>
      </c>
    </row>
    <row r="140" ht="15.75">
      <c r="A140" s="23"/>
    </row>
    <row r="141" ht="15.75">
      <c r="A141" s="95" t="s">
        <v>158</v>
      </c>
    </row>
    <row r="142" ht="31.5">
      <c r="A142" s="23" t="s">
        <v>139</v>
      </c>
    </row>
    <row r="143" ht="173.25">
      <c r="A143" s="23" t="s">
        <v>140</v>
      </c>
    </row>
    <row r="144" ht="15.75" hidden="1">
      <c r="A144" s="23" t="s">
        <v>159</v>
      </c>
    </row>
    <row r="145" ht="31.5" hidden="1">
      <c r="A145" s="23" t="s">
        <v>160</v>
      </c>
    </row>
    <row r="146" ht="31.5" hidden="1">
      <c r="A146" s="23" t="s">
        <v>161</v>
      </c>
    </row>
    <row r="147" ht="15.75" hidden="1">
      <c r="A147" s="23" t="s">
        <v>162</v>
      </c>
    </row>
    <row r="148" ht="31.5" hidden="1">
      <c r="A148" s="23" t="s">
        <v>163</v>
      </c>
    </row>
    <row r="149" ht="31.5" hidden="1">
      <c r="A149" s="23" t="s">
        <v>164</v>
      </c>
    </row>
    <row r="150" ht="15.75" hidden="1">
      <c r="A150" s="23" t="s">
        <v>165</v>
      </c>
    </row>
    <row r="151" ht="15.75">
      <c r="A151" s="23"/>
    </row>
    <row r="152" spans="1:5" ht="15.75">
      <c r="A152" s="95" t="s">
        <v>166</v>
      </c>
      <c r="C152" s="96">
        <v>5520558.42</v>
      </c>
      <c r="E152" s="96">
        <f>E154+E237+E288+E307+E312+E328+E333+E265</f>
        <v>6593322.289999999</v>
      </c>
    </row>
    <row r="153" spans="1:5" ht="15.75">
      <c r="A153" s="95"/>
      <c r="C153" s="96"/>
      <c r="E153" s="96"/>
    </row>
    <row r="154" spans="1:5" ht="15.75">
      <c r="A154" s="91" t="s">
        <v>167</v>
      </c>
      <c r="C154" s="93">
        <v>2753439.81</v>
      </c>
      <c r="E154" s="93">
        <f>E156+E175+E197+E218</f>
        <v>2974477.67</v>
      </c>
    </row>
    <row r="155" spans="1:5" ht="15.75">
      <c r="A155" s="91"/>
      <c r="C155" s="93"/>
      <c r="E155" s="93"/>
    </row>
    <row r="156" spans="1:5" ht="15.75">
      <c r="A156" s="106" t="s">
        <v>168</v>
      </c>
      <c r="C156" s="107">
        <v>1468700.58</v>
      </c>
      <c r="E156" s="107">
        <f>E158+E161+E162+E163+E164+E165+E166+E167+E168+E169+E170+E171+E172+E173</f>
        <v>1807598.72</v>
      </c>
    </row>
    <row r="157" ht="15.75">
      <c r="A157" s="85" t="s">
        <v>169</v>
      </c>
    </row>
    <row r="158" spans="1:5" ht="15.75">
      <c r="A158" s="85" t="s">
        <v>170</v>
      </c>
      <c r="C158" s="100">
        <v>1143730.62</v>
      </c>
      <c r="E158" s="100">
        <v>1565661.24</v>
      </c>
    </row>
    <row r="159" ht="15.75">
      <c r="A159" s="85" t="s">
        <v>171</v>
      </c>
    </row>
    <row r="160" spans="1:5" ht="15.75" hidden="1">
      <c r="A160" s="97" t="s">
        <v>172</v>
      </c>
      <c r="C160" s="100">
        <v>1788.6</v>
      </c>
      <c r="E160" s="100"/>
    </row>
    <row r="161" spans="1:5" ht="15.75">
      <c r="A161" s="97" t="s">
        <v>173</v>
      </c>
      <c r="C161" s="100">
        <v>64157.61</v>
      </c>
      <c r="E161" s="100">
        <v>50132.15</v>
      </c>
    </row>
    <row r="162" spans="1:5" ht="15.75">
      <c r="A162" s="97" t="s">
        <v>174</v>
      </c>
      <c r="C162" s="100">
        <v>2366.49</v>
      </c>
      <c r="E162" s="100">
        <v>4371.7</v>
      </c>
    </row>
    <row r="163" spans="1:5" ht="15.75">
      <c r="A163" s="97" t="s">
        <v>176</v>
      </c>
      <c r="C163" s="100"/>
      <c r="E163" s="100">
        <v>78791.01</v>
      </c>
    </row>
    <row r="164" spans="1:5" ht="31.5">
      <c r="A164" s="99" t="s">
        <v>589</v>
      </c>
      <c r="C164" s="100"/>
      <c r="E164" s="100">
        <v>63441.85</v>
      </c>
    </row>
    <row r="165" spans="1:5" ht="15.75">
      <c r="A165" s="145" t="s">
        <v>590</v>
      </c>
      <c r="C165" s="100"/>
      <c r="E165" s="100">
        <v>1311</v>
      </c>
    </row>
    <row r="166" spans="1:5" ht="31.5">
      <c r="A166" s="145" t="s">
        <v>591</v>
      </c>
      <c r="E166" s="100">
        <v>32696.43</v>
      </c>
    </row>
    <row r="167" spans="1:5" ht="15.75">
      <c r="A167" s="145" t="s">
        <v>592</v>
      </c>
      <c r="C167" s="100">
        <v>45687.06</v>
      </c>
      <c r="E167" s="100">
        <v>108.7</v>
      </c>
    </row>
    <row r="168" spans="1:5" ht="15.75">
      <c r="A168" s="145" t="s">
        <v>593</v>
      </c>
      <c r="E168" s="100">
        <v>1138.12</v>
      </c>
    </row>
    <row r="169" spans="1:5" ht="15.75">
      <c r="A169" s="145" t="s">
        <v>594</v>
      </c>
      <c r="E169" s="100">
        <v>3893.53</v>
      </c>
    </row>
    <row r="170" spans="1:5" ht="15.75">
      <c r="A170" s="97" t="s">
        <v>178</v>
      </c>
      <c r="C170" s="100">
        <v>81925.81</v>
      </c>
      <c r="E170" s="100">
        <v>3273.11</v>
      </c>
    </row>
    <row r="171" spans="1:5" ht="15.75">
      <c r="A171" s="99" t="s">
        <v>179</v>
      </c>
      <c r="C171" s="100">
        <v>15697.45</v>
      </c>
      <c r="E171" s="100">
        <v>435</v>
      </c>
    </row>
    <row r="172" spans="1:5" ht="15.75">
      <c r="A172" s="145" t="s">
        <v>595</v>
      </c>
      <c r="C172" s="100">
        <v>3152.48</v>
      </c>
      <c r="E172" s="100">
        <v>844.89</v>
      </c>
    </row>
    <row r="173" spans="1:5" ht="15.75">
      <c r="A173" s="99" t="s">
        <v>805</v>
      </c>
      <c r="C173" s="100">
        <v>3152.48</v>
      </c>
      <c r="E173" s="100">
        <v>1499.99</v>
      </c>
    </row>
    <row r="174" spans="1:5" ht="15.75">
      <c r="A174" s="99"/>
      <c r="C174" s="100"/>
      <c r="E174" s="100"/>
    </row>
    <row r="175" spans="1:5" ht="15.75">
      <c r="A175" s="106" t="s">
        <v>180</v>
      </c>
      <c r="C175" s="107">
        <v>561194.96</v>
      </c>
      <c r="E175" s="107">
        <f>SUM(E177:E194)</f>
        <v>694506.7199999999</v>
      </c>
    </row>
    <row r="176" ht="15.75">
      <c r="A176" s="85" t="s">
        <v>181</v>
      </c>
    </row>
    <row r="177" spans="1:5" ht="15.75">
      <c r="A177" s="85" t="s">
        <v>182</v>
      </c>
      <c r="C177" s="100">
        <v>466665.82</v>
      </c>
      <c r="E177" s="100">
        <v>427611.38</v>
      </c>
    </row>
    <row r="178" ht="15.75">
      <c r="A178" s="85" t="s">
        <v>171</v>
      </c>
    </row>
    <row r="179" spans="1:5" ht="15.75" hidden="1">
      <c r="A179" s="97" t="s">
        <v>172</v>
      </c>
      <c r="C179" s="98" t="s">
        <v>183</v>
      </c>
      <c r="E179" s="98"/>
    </row>
    <row r="180" spans="1:5" ht="15.75">
      <c r="A180" s="97" t="s">
        <v>173</v>
      </c>
      <c r="C180" s="100">
        <v>13826.34</v>
      </c>
      <c r="E180" s="100">
        <v>14221.82</v>
      </c>
    </row>
    <row r="181" spans="1:5" ht="15.75">
      <c r="A181" s="97" t="s">
        <v>184</v>
      </c>
      <c r="C181" s="100">
        <v>46343.56</v>
      </c>
      <c r="E181" s="100">
        <v>67737.65</v>
      </c>
    </row>
    <row r="182" spans="1:5" ht="15.75">
      <c r="A182" s="97" t="s">
        <v>185</v>
      </c>
      <c r="C182" s="100">
        <v>2190.07</v>
      </c>
      <c r="E182" s="100">
        <v>1226.19</v>
      </c>
    </row>
    <row r="183" spans="1:5" ht="15.75">
      <c r="A183" s="97" t="s">
        <v>186</v>
      </c>
      <c r="C183" s="100">
        <v>6265.45</v>
      </c>
      <c r="E183" s="100">
        <v>4857.11</v>
      </c>
    </row>
    <row r="184" spans="1:5" ht="15.75">
      <c r="A184" s="99" t="s">
        <v>596</v>
      </c>
      <c r="C184" s="100">
        <v>15697.45</v>
      </c>
      <c r="E184" s="100">
        <v>2298.44</v>
      </c>
    </row>
    <row r="185" spans="1:5" ht="15.75">
      <c r="A185" s="99" t="s">
        <v>141</v>
      </c>
      <c r="C185" s="100"/>
      <c r="E185" s="100">
        <v>153513.84</v>
      </c>
    </row>
    <row r="186" spans="1:5" ht="15.75">
      <c r="A186" s="145" t="s">
        <v>590</v>
      </c>
      <c r="C186" s="100"/>
      <c r="E186" s="100">
        <v>992</v>
      </c>
    </row>
    <row r="187" spans="1:5" ht="31.5">
      <c r="A187" s="145" t="s">
        <v>597</v>
      </c>
      <c r="E187" s="100">
        <v>10045.85</v>
      </c>
    </row>
    <row r="188" spans="1:5" ht="15.75">
      <c r="A188" s="99" t="s">
        <v>175</v>
      </c>
      <c r="C188" s="100">
        <v>22317.48</v>
      </c>
      <c r="E188" s="100">
        <v>1380</v>
      </c>
    </row>
    <row r="189" spans="1:5" ht="15.75">
      <c r="A189" s="145" t="s">
        <v>593</v>
      </c>
      <c r="C189" s="100"/>
      <c r="E189" s="100">
        <v>300.46</v>
      </c>
    </row>
    <row r="190" spans="1:5" ht="15.75">
      <c r="A190" s="145" t="s">
        <v>594</v>
      </c>
      <c r="C190" s="100"/>
      <c r="E190" s="100">
        <v>1760.94</v>
      </c>
    </row>
    <row r="191" spans="1:5" ht="15.75">
      <c r="A191" s="97" t="s">
        <v>178</v>
      </c>
      <c r="C191" s="100"/>
      <c r="E191" s="100">
        <v>1096.99</v>
      </c>
    </row>
    <row r="192" spans="1:5" ht="15.75">
      <c r="A192" s="99" t="s">
        <v>179</v>
      </c>
      <c r="C192" s="100">
        <v>2773.24</v>
      </c>
      <c r="E192" s="100">
        <v>430</v>
      </c>
    </row>
    <row r="193" spans="1:5" ht="15.75">
      <c r="A193" s="145" t="s">
        <v>595</v>
      </c>
      <c r="C193" s="100"/>
      <c r="E193" s="100">
        <v>265.05</v>
      </c>
    </row>
    <row r="194" spans="1:5" ht="15.75">
      <c r="A194" s="99" t="s">
        <v>746</v>
      </c>
      <c r="C194" s="100"/>
      <c r="E194" s="100">
        <v>6769</v>
      </c>
    </row>
    <row r="195" spans="1:5" ht="15.75">
      <c r="A195" s="99"/>
      <c r="C195" s="100"/>
      <c r="E195" s="100"/>
    </row>
    <row r="196" spans="1:5" ht="15.75">
      <c r="A196" s="99"/>
      <c r="C196" s="100"/>
      <c r="E196" s="100"/>
    </row>
    <row r="197" spans="1:5" ht="15.75">
      <c r="A197" s="106" t="s">
        <v>543</v>
      </c>
      <c r="C197" s="107">
        <v>375495.4</v>
      </c>
      <c r="E197" s="107">
        <f>SUM(E199:E216)</f>
        <v>250117.81</v>
      </c>
    </row>
    <row r="198" ht="15.75">
      <c r="A198" s="85" t="s">
        <v>169</v>
      </c>
    </row>
    <row r="199" spans="1:5" ht="15.75">
      <c r="A199" s="85" t="s">
        <v>170</v>
      </c>
      <c r="C199" s="100">
        <v>318537.61</v>
      </c>
      <c r="E199" s="100">
        <v>199869.6</v>
      </c>
    </row>
    <row r="200" ht="15.75">
      <c r="A200" s="85" t="s">
        <v>171</v>
      </c>
    </row>
    <row r="201" spans="1:5" ht="15.75" hidden="1">
      <c r="A201" s="97" t="s">
        <v>172</v>
      </c>
      <c r="C201" s="100">
        <v>243.9</v>
      </c>
      <c r="E201" s="100"/>
    </row>
    <row r="202" spans="1:5" ht="15.75">
      <c r="A202" s="97" t="s">
        <v>173</v>
      </c>
      <c r="C202" s="100">
        <v>20080.6</v>
      </c>
      <c r="E202" s="100">
        <v>4807.15</v>
      </c>
    </row>
    <row r="203" spans="1:5" ht="15.75">
      <c r="A203" s="99" t="s">
        <v>142</v>
      </c>
      <c r="C203" s="100">
        <v>17042.1</v>
      </c>
      <c r="E203" s="100">
        <v>20207.9</v>
      </c>
    </row>
    <row r="204" spans="1:5" ht="15.75">
      <c r="A204" s="97" t="s">
        <v>187</v>
      </c>
      <c r="C204" s="100">
        <v>1750.16</v>
      </c>
      <c r="E204" s="100">
        <v>138.45</v>
      </c>
    </row>
    <row r="205" spans="1:5" ht="15.75">
      <c r="A205" s="97" t="s">
        <v>188</v>
      </c>
      <c r="C205" s="100">
        <v>7030.04</v>
      </c>
      <c r="E205" s="100">
        <v>5323.89</v>
      </c>
    </row>
    <row r="206" spans="1:5" ht="15.75" hidden="1">
      <c r="A206" s="99" t="s">
        <v>177</v>
      </c>
      <c r="C206" s="100">
        <v>15697.45</v>
      </c>
      <c r="E206" s="100"/>
    </row>
    <row r="207" spans="1:5" ht="15.75">
      <c r="A207" s="99" t="s">
        <v>177</v>
      </c>
      <c r="C207" s="100"/>
      <c r="E207" s="100">
        <v>0</v>
      </c>
    </row>
    <row r="208" spans="1:5" ht="15.75">
      <c r="A208" s="145" t="s">
        <v>590</v>
      </c>
      <c r="C208" s="100"/>
      <c r="E208" s="100">
        <v>410</v>
      </c>
    </row>
    <row r="209" spans="1:5" ht="31.5">
      <c r="A209" s="145" t="s">
        <v>597</v>
      </c>
      <c r="E209" s="100">
        <v>7015.26</v>
      </c>
    </row>
    <row r="210" spans="1:5" ht="15.75">
      <c r="A210" s="99" t="s">
        <v>175</v>
      </c>
      <c r="E210" s="100">
        <v>810.55</v>
      </c>
    </row>
    <row r="211" spans="1:5" ht="15.75">
      <c r="A211" s="145" t="s">
        <v>593</v>
      </c>
      <c r="E211" s="100">
        <v>478.45</v>
      </c>
    </row>
    <row r="212" spans="1:5" ht="15.75">
      <c r="A212" s="145" t="s">
        <v>594</v>
      </c>
      <c r="E212" s="100">
        <v>2154.36</v>
      </c>
    </row>
    <row r="213" spans="1:5" ht="15.75">
      <c r="A213" s="97" t="s">
        <v>178</v>
      </c>
      <c r="C213" s="100">
        <v>1169.94</v>
      </c>
      <c r="E213" s="100">
        <v>398.27</v>
      </c>
    </row>
    <row r="214" spans="1:5" ht="15.75">
      <c r="A214" s="99" t="s">
        <v>179</v>
      </c>
      <c r="C214" s="100"/>
      <c r="E214" s="100">
        <v>380</v>
      </c>
    </row>
    <row r="215" spans="1:5" ht="15.75">
      <c r="A215" s="145" t="s">
        <v>595</v>
      </c>
      <c r="C215" s="100"/>
      <c r="E215" s="100">
        <v>60</v>
      </c>
    </row>
    <row r="216" spans="1:5" ht="15.75">
      <c r="A216" s="99" t="s">
        <v>143</v>
      </c>
      <c r="C216" s="100"/>
      <c r="E216" s="100">
        <v>8063.93</v>
      </c>
    </row>
    <row r="217" ht="15.75">
      <c r="A217" s="106"/>
    </row>
    <row r="218" spans="1:5" ht="15.75">
      <c r="A218" s="106" t="s">
        <v>544</v>
      </c>
      <c r="C218" s="107">
        <v>348048.87</v>
      </c>
      <c r="E218" s="107">
        <f>SUM(E220:E234)</f>
        <v>222254.41999999998</v>
      </c>
    </row>
    <row r="219" ht="15.75">
      <c r="A219" s="85" t="s">
        <v>189</v>
      </c>
    </row>
    <row r="220" spans="1:5" ht="15.75">
      <c r="A220" s="85" t="s">
        <v>182</v>
      </c>
      <c r="C220" s="100">
        <v>307584.8</v>
      </c>
      <c r="E220" s="100">
        <v>183356.69</v>
      </c>
    </row>
    <row r="221" ht="15.75">
      <c r="A221" s="85" t="s">
        <v>171</v>
      </c>
    </row>
    <row r="222" spans="1:5" ht="15.75" hidden="1">
      <c r="A222" s="97" t="s">
        <v>172</v>
      </c>
      <c r="C222" s="100">
        <v>487.8</v>
      </c>
      <c r="E222" s="100"/>
    </row>
    <row r="223" spans="1:5" ht="15.75">
      <c r="A223" s="97" t="s">
        <v>190</v>
      </c>
      <c r="C223" s="100">
        <v>10202.49</v>
      </c>
      <c r="E223" s="100">
        <v>7999.02</v>
      </c>
    </row>
    <row r="224" spans="1:5" ht="15.75">
      <c r="A224" s="97" t="s">
        <v>747</v>
      </c>
      <c r="C224" s="100">
        <v>1097.39</v>
      </c>
      <c r="E224" s="100">
        <v>1117</v>
      </c>
    </row>
    <row r="225" spans="1:5" ht="15.75">
      <c r="A225" s="97" t="s">
        <v>191</v>
      </c>
      <c r="C225" s="100">
        <v>21934.26</v>
      </c>
      <c r="E225" s="100">
        <v>23298.48</v>
      </c>
    </row>
    <row r="226" spans="1:5" ht="15.75">
      <c r="A226" s="99" t="s">
        <v>177</v>
      </c>
      <c r="C226" s="100"/>
      <c r="E226" s="100">
        <v>0</v>
      </c>
    </row>
    <row r="227" spans="1:5" ht="15.75">
      <c r="A227" s="145" t="s">
        <v>590</v>
      </c>
      <c r="C227" s="100"/>
      <c r="E227" s="100">
        <v>555</v>
      </c>
    </row>
    <row r="228" spans="1:5" ht="31.5">
      <c r="A228" s="145" t="s">
        <v>597</v>
      </c>
      <c r="C228" s="100">
        <v>5282.94</v>
      </c>
      <c r="E228" s="100">
        <v>2942.02</v>
      </c>
    </row>
    <row r="229" spans="1:5" ht="15.75">
      <c r="A229" s="99" t="s">
        <v>175</v>
      </c>
      <c r="C229" s="100"/>
      <c r="E229" s="100">
        <v>960</v>
      </c>
    </row>
    <row r="230" spans="1:5" ht="15.75">
      <c r="A230" s="145" t="s">
        <v>593</v>
      </c>
      <c r="C230" s="100"/>
      <c r="E230" s="100">
        <v>292.63</v>
      </c>
    </row>
    <row r="231" spans="1:5" ht="15.75">
      <c r="A231" s="145" t="s">
        <v>594</v>
      </c>
      <c r="C231" s="100"/>
      <c r="E231" s="100">
        <v>1067.11</v>
      </c>
    </row>
    <row r="232" spans="1:5" ht="15.75">
      <c r="A232" s="97" t="s">
        <v>178</v>
      </c>
      <c r="C232" s="100">
        <v>521.29</v>
      </c>
      <c r="E232" s="100">
        <v>426.82</v>
      </c>
    </row>
    <row r="233" spans="1:5" ht="15.75">
      <c r="A233" s="99" t="s">
        <v>179</v>
      </c>
      <c r="C233" s="100"/>
      <c r="E233" s="100">
        <v>134</v>
      </c>
    </row>
    <row r="234" spans="1:5" ht="15.75">
      <c r="A234" s="145" t="s">
        <v>595</v>
      </c>
      <c r="C234" s="100"/>
      <c r="E234" s="100">
        <v>105.65</v>
      </c>
    </row>
    <row r="235" spans="1:5" ht="15.75">
      <c r="A235" s="145"/>
      <c r="C235" s="100"/>
      <c r="E235" s="100"/>
    </row>
    <row r="236" ht="15.75">
      <c r="A236" s="91"/>
    </row>
    <row r="237" spans="1:5" ht="15.75">
      <c r="A237" s="91" t="s">
        <v>545</v>
      </c>
      <c r="C237" s="93">
        <v>836974.1</v>
      </c>
      <c r="E237" s="93">
        <f>E239+E244+E257</f>
        <v>340000.87</v>
      </c>
    </row>
    <row r="238" spans="1:5" ht="15.75">
      <c r="A238" s="91"/>
      <c r="C238" s="93"/>
      <c r="E238" s="93"/>
    </row>
    <row r="239" spans="1:5" ht="15.75">
      <c r="A239" s="106" t="s">
        <v>192</v>
      </c>
      <c r="C239" s="107">
        <v>48603.61</v>
      </c>
      <c r="E239" s="107">
        <f>SUM(E241:E243)</f>
        <v>95584.39</v>
      </c>
    </row>
    <row r="240" ht="15.75">
      <c r="A240" s="97" t="s">
        <v>193</v>
      </c>
    </row>
    <row r="241" spans="1:5" ht="15.75">
      <c r="A241" s="97" t="s">
        <v>194</v>
      </c>
      <c r="C241" s="100">
        <v>48503.81</v>
      </c>
      <c r="E241" s="100">
        <v>95584.39</v>
      </c>
    </row>
    <row r="242" spans="1:5" ht="15.75" hidden="1">
      <c r="A242" s="97" t="s">
        <v>195</v>
      </c>
      <c r="C242" s="100">
        <v>99.8</v>
      </c>
      <c r="E242" s="100">
        <v>0</v>
      </c>
    </row>
    <row r="243" spans="1:5" ht="15.75">
      <c r="A243" s="97"/>
      <c r="C243" s="100"/>
      <c r="E243" s="100"/>
    </row>
    <row r="244" spans="1:5" ht="15.75">
      <c r="A244" s="106" t="s">
        <v>196</v>
      </c>
      <c r="C244" s="107">
        <v>151931.99</v>
      </c>
      <c r="E244" s="107">
        <f>SUM(E245:E255)</f>
        <v>212400.69</v>
      </c>
    </row>
    <row r="245" spans="1:5" ht="15.75">
      <c r="A245" s="97" t="s">
        <v>197</v>
      </c>
      <c r="C245" s="100">
        <v>134368.34</v>
      </c>
      <c r="E245" s="100">
        <v>193863.79</v>
      </c>
    </row>
    <row r="246" spans="1:5" ht="15.75">
      <c r="A246" s="145" t="s">
        <v>748</v>
      </c>
      <c r="C246" s="100">
        <v>2241.09</v>
      </c>
      <c r="E246" s="100">
        <v>6613.55</v>
      </c>
    </row>
    <row r="247" spans="1:5" ht="15.75">
      <c r="A247" s="97" t="s">
        <v>174</v>
      </c>
      <c r="C247" s="100">
        <v>2584.43</v>
      </c>
      <c r="E247" s="100">
        <v>685.07</v>
      </c>
    </row>
    <row r="248" spans="1:5" ht="15.75">
      <c r="A248" s="97" t="s">
        <v>198</v>
      </c>
      <c r="C248" s="100">
        <v>8229.16</v>
      </c>
      <c r="E248" s="100">
        <v>6402.92</v>
      </c>
    </row>
    <row r="249" spans="1:5" ht="15.75" hidden="1">
      <c r="A249" s="97" t="s">
        <v>199</v>
      </c>
      <c r="C249" s="100"/>
      <c r="E249" s="100"/>
    </row>
    <row r="250" spans="1:5" ht="15.75">
      <c r="A250" s="99" t="s">
        <v>177</v>
      </c>
      <c r="C250" s="100"/>
      <c r="E250" s="100">
        <v>0</v>
      </c>
    </row>
    <row r="251" spans="1:5" ht="15.75">
      <c r="A251" s="145" t="s">
        <v>590</v>
      </c>
      <c r="C251" s="100"/>
      <c r="E251" s="100">
        <v>0</v>
      </c>
    </row>
    <row r="252" spans="1:5" ht="31.5">
      <c r="A252" s="145" t="s">
        <v>597</v>
      </c>
      <c r="C252" s="100">
        <v>2997.56</v>
      </c>
      <c r="E252" s="100">
        <v>2418.36</v>
      </c>
    </row>
    <row r="253" spans="1:5" ht="15.75">
      <c r="A253" s="145" t="s">
        <v>594</v>
      </c>
      <c r="C253" s="100"/>
      <c r="E253" s="100">
        <v>1155.06</v>
      </c>
    </row>
    <row r="254" spans="1:5" ht="15.75">
      <c r="A254" s="97" t="s">
        <v>178</v>
      </c>
      <c r="C254" s="100"/>
      <c r="E254" s="100">
        <v>1209.17</v>
      </c>
    </row>
    <row r="255" spans="1:5" ht="15.75">
      <c r="A255" s="145" t="s">
        <v>595</v>
      </c>
      <c r="C255" s="100"/>
      <c r="E255" s="100">
        <v>52.77</v>
      </c>
    </row>
    <row r="256" spans="1:5" ht="15.75">
      <c r="A256" s="145"/>
      <c r="C256" s="100">
        <v>1511.41</v>
      </c>
      <c r="E256" s="100"/>
    </row>
    <row r="257" spans="1:5" ht="15.75">
      <c r="A257" s="106" t="s">
        <v>201</v>
      </c>
      <c r="C257" s="107">
        <v>151931.99</v>
      </c>
      <c r="E257" s="107">
        <f>SUM(E258:E264)</f>
        <v>32015.79</v>
      </c>
    </row>
    <row r="258" spans="1:5" ht="15.75">
      <c r="A258" s="97" t="s">
        <v>197</v>
      </c>
      <c r="C258" s="100">
        <v>134368.34</v>
      </c>
      <c r="E258" s="100">
        <v>32015.79</v>
      </c>
    </row>
    <row r="259" spans="1:5" ht="15.75" hidden="1">
      <c r="A259" s="97" t="s">
        <v>195</v>
      </c>
      <c r="C259" s="100">
        <v>2241.09</v>
      </c>
      <c r="E259" s="100"/>
    </row>
    <row r="260" spans="1:5" ht="15.75">
      <c r="A260" s="97"/>
      <c r="C260" s="100"/>
      <c r="E260" s="100"/>
    </row>
    <row r="261" spans="1:5" ht="15.75" hidden="1">
      <c r="A261" s="97" t="s">
        <v>198</v>
      </c>
      <c r="C261" s="100">
        <v>8229.16</v>
      </c>
      <c r="E261" s="100"/>
    </row>
    <row r="262" spans="1:5" ht="15.75" hidden="1">
      <c r="A262" s="97" t="s">
        <v>199</v>
      </c>
      <c r="C262" s="100"/>
      <c r="E262" s="100"/>
    </row>
    <row r="263" spans="1:5" ht="15.75" hidden="1">
      <c r="A263" s="97" t="s">
        <v>200</v>
      </c>
      <c r="C263" s="100">
        <v>2997.56</v>
      </c>
      <c r="E263" s="100"/>
    </row>
    <row r="264" spans="1:5" ht="15.75" hidden="1">
      <c r="A264" s="97" t="s">
        <v>178</v>
      </c>
      <c r="C264" s="100">
        <v>1511.41</v>
      </c>
      <c r="E264" s="100"/>
    </row>
    <row r="265" spans="1:5" ht="15.75">
      <c r="A265" s="91" t="s">
        <v>546</v>
      </c>
      <c r="C265" s="93">
        <v>836974.1</v>
      </c>
      <c r="E265" s="93">
        <f>E267+E285</f>
        <v>969757.6499999999</v>
      </c>
    </row>
    <row r="266" ht="15.75">
      <c r="A266" s="85"/>
    </row>
    <row r="267" spans="1:5" ht="15.75">
      <c r="A267" s="106" t="s">
        <v>202</v>
      </c>
      <c r="C267" s="107">
        <v>564222.18</v>
      </c>
      <c r="E267" s="107">
        <f>SUM(E268:E283)</f>
        <v>777275.72</v>
      </c>
    </row>
    <row r="268" spans="1:5" ht="15.75">
      <c r="A268" s="97" t="s">
        <v>197</v>
      </c>
      <c r="C268" s="100">
        <v>463573.95</v>
      </c>
      <c r="E268" s="100">
        <v>651707.71</v>
      </c>
    </row>
    <row r="269" spans="1:5" ht="15.75">
      <c r="A269" s="97" t="s">
        <v>195</v>
      </c>
      <c r="C269" s="100">
        <v>13065.92</v>
      </c>
      <c r="E269" s="100">
        <v>17228.23</v>
      </c>
    </row>
    <row r="270" spans="1:5" ht="15.75">
      <c r="A270" s="97" t="s">
        <v>203</v>
      </c>
      <c r="C270" s="100">
        <v>3509.93</v>
      </c>
      <c r="E270" s="100">
        <v>3274.4</v>
      </c>
    </row>
    <row r="271" spans="1:5" ht="15.75">
      <c r="A271" s="97" t="s">
        <v>204</v>
      </c>
      <c r="C271" s="100">
        <v>39115.74</v>
      </c>
      <c r="E271" s="100">
        <v>43794.5</v>
      </c>
    </row>
    <row r="272" spans="1:5" ht="15.75">
      <c r="A272" s="99" t="s">
        <v>177</v>
      </c>
      <c r="C272" s="100"/>
      <c r="E272" s="100">
        <v>3703.44</v>
      </c>
    </row>
    <row r="273" spans="1:5" ht="15.75">
      <c r="A273" s="145" t="s">
        <v>590</v>
      </c>
      <c r="C273" s="100"/>
      <c r="E273" s="100">
        <v>1989</v>
      </c>
    </row>
    <row r="274" spans="1:5" ht="31.5">
      <c r="A274" s="145" t="s">
        <v>597</v>
      </c>
      <c r="C274" s="100">
        <v>7787.14</v>
      </c>
      <c r="E274" s="100">
        <v>9617.68</v>
      </c>
    </row>
    <row r="275" spans="1:5" ht="15.75">
      <c r="A275" s="145" t="s">
        <v>592</v>
      </c>
      <c r="C275" s="100"/>
      <c r="E275" s="100">
        <v>196</v>
      </c>
    </row>
    <row r="276" spans="1:5" ht="15.75">
      <c r="A276" s="145" t="s">
        <v>593</v>
      </c>
      <c r="E276" s="100">
        <v>269.6</v>
      </c>
    </row>
    <row r="277" spans="1:5" ht="15.75">
      <c r="A277" s="145" t="s">
        <v>594</v>
      </c>
      <c r="C277" s="100">
        <v>528.59</v>
      </c>
      <c r="E277" s="100">
        <v>2599.54</v>
      </c>
    </row>
    <row r="278" spans="1:5" ht="15.75">
      <c r="A278" s="97" t="s">
        <v>178</v>
      </c>
      <c r="C278" s="100"/>
      <c r="E278" s="100">
        <v>784.03</v>
      </c>
    </row>
    <row r="279" spans="1:5" ht="15.75">
      <c r="A279" s="99" t="s">
        <v>179</v>
      </c>
      <c r="C279" s="100"/>
      <c r="E279" s="100">
        <v>355</v>
      </c>
    </row>
    <row r="280" spans="1:5" ht="15.75">
      <c r="A280" s="145" t="s">
        <v>595</v>
      </c>
      <c r="C280" s="100"/>
      <c r="E280" s="100">
        <v>921.13</v>
      </c>
    </row>
    <row r="281" spans="1:5" ht="15.75">
      <c r="A281" s="145" t="s">
        <v>144</v>
      </c>
      <c r="C281" s="100"/>
      <c r="E281" s="100">
        <v>24530.7</v>
      </c>
    </row>
    <row r="282" spans="1:5" ht="15.75">
      <c r="A282" s="145" t="s">
        <v>145</v>
      </c>
      <c r="C282" s="100"/>
      <c r="E282" s="100">
        <v>10210.29</v>
      </c>
    </row>
    <row r="283" spans="1:5" ht="15.75">
      <c r="A283" s="99" t="s">
        <v>146</v>
      </c>
      <c r="C283" s="100"/>
      <c r="E283" s="100">
        <v>6094.47</v>
      </c>
    </row>
    <row r="284" spans="1:5" ht="15.75">
      <c r="A284" s="99"/>
      <c r="C284" s="100"/>
      <c r="E284" s="100"/>
    </row>
    <row r="285" spans="1:5" ht="15.75">
      <c r="A285" s="106" t="s">
        <v>749</v>
      </c>
      <c r="C285" s="107">
        <v>76760</v>
      </c>
      <c r="E285" s="107">
        <f>SUM(E286)</f>
        <v>192481.93</v>
      </c>
    </row>
    <row r="286" spans="1:5" ht="47.25">
      <c r="A286" s="97" t="s">
        <v>750</v>
      </c>
      <c r="E286" s="100">
        <v>192481.93</v>
      </c>
    </row>
    <row r="287" ht="15.75">
      <c r="A287" s="85"/>
    </row>
    <row r="288" spans="1:5" ht="15.75">
      <c r="A288" s="91" t="s">
        <v>547</v>
      </c>
      <c r="C288" s="93">
        <v>1428753.13</v>
      </c>
      <c r="E288" s="93">
        <f>SUM(E291:E305)</f>
        <v>1680346.2300000002</v>
      </c>
    </row>
    <row r="289" ht="15.75">
      <c r="A289" s="85"/>
    </row>
    <row r="290" ht="15.75">
      <c r="A290" s="85" t="s">
        <v>16</v>
      </c>
    </row>
    <row r="291" spans="1:5" ht="15.75">
      <c r="A291" s="85" t="s">
        <v>17</v>
      </c>
      <c r="C291" s="100">
        <v>1188907.01</v>
      </c>
      <c r="E291" s="100">
        <v>1457006.85</v>
      </c>
    </row>
    <row r="292" spans="1:5" ht="15.75">
      <c r="A292" s="145" t="s">
        <v>557</v>
      </c>
      <c r="C292" s="100">
        <v>14573.81</v>
      </c>
      <c r="E292" s="100">
        <v>29367.11</v>
      </c>
    </row>
    <row r="293" spans="1:5" ht="15.75">
      <c r="A293" s="97" t="s">
        <v>174</v>
      </c>
      <c r="C293" s="100">
        <v>2317.42</v>
      </c>
      <c r="E293" s="100">
        <v>2001.7</v>
      </c>
    </row>
    <row r="294" spans="1:5" ht="15.75">
      <c r="A294" s="97" t="s">
        <v>188</v>
      </c>
      <c r="C294" s="100"/>
      <c r="E294" s="100">
        <v>99096.62</v>
      </c>
    </row>
    <row r="295" spans="1:5" ht="15.75">
      <c r="A295" s="99" t="s">
        <v>177</v>
      </c>
      <c r="C295" s="100"/>
      <c r="E295" s="100">
        <v>949</v>
      </c>
    </row>
    <row r="296" spans="1:5" ht="15.75">
      <c r="A296" s="145" t="s">
        <v>590</v>
      </c>
      <c r="C296" s="100"/>
      <c r="E296" s="100">
        <v>1316</v>
      </c>
    </row>
    <row r="297" spans="1:5" ht="31.5">
      <c r="A297" s="145" t="s">
        <v>597</v>
      </c>
      <c r="E297" s="100">
        <v>24860.89</v>
      </c>
    </row>
    <row r="298" spans="1:5" ht="15.75">
      <c r="A298" s="99" t="s">
        <v>175</v>
      </c>
      <c r="C298" s="100">
        <v>8833.97</v>
      </c>
      <c r="E298" s="100">
        <v>298.23</v>
      </c>
    </row>
    <row r="299" spans="1:5" ht="15.75">
      <c r="A299" s="145" t="s">
        <v>593</v>
      </c>
      <c r="C299" s="100">
        <v>4808.36</v>
      </c>
      <c r="E299" s="100">
        <v>996.54</v>
      </c>
    </row>
    <row r="300" spans="1:5" ht="15.75">
      <c r="A300" s="145" t="s">
        <v>594</v>
      </c>
      <c r="C300" s="100"/>
      <c r="E300" s="100">
        <v>3345.12</v>
      </c>
    </row>
    <row r="301" spans="1:5" ht="15.75">
      <c r="A301" s="97" t="s">
        <v>178</v>
      </c>
      <c r="C301" s="100">
        <v>4808.36</v>
      </c>
      <c r="E301" s="100">
        <v>3877.48</v>
      </c>
    </row>
    <row r="302" spans="1:5" ht="15.75">
      <c r="A302" s="99" t="s">
        <v>179</v>
      </c>
      <c r="C302" s="100"/>
      <c r="E302" s="100">
        <v>3578</v>
      </c>
    </row>
    <row r="303" spans="1:5" ht="15.75">
      <c r="A303" s="145" t="s">
        <v>595</v>
      </c>
      <c r="C303" s="100">
        <v>4808.36</v>
      </c>
      <c r="E303" s="100">
        <v>2335.91</v>
      </c>
    </row>
    <row r="304" spans="1:5" ht="31.5">
      <c r="A304" s="145" t="s">
        <v>147</v>
      </c>
      <c r="C304" s="100"/>
      <c r="E304" s="100">
        <v>44960.34</v>
      </c>
    </row>
    <row r="305" spans="1:5" ht="31.5">
      <c r="A305" s="99" t="s">
        <v>148</v>
      </c>
      <c r="C305" s="100"/>
      <c r="E305" s="100">
        <v>6356.44</v>
      </c>
    </row>
    <row r="306" spans="1:5" ht="15.75">
      <c r="A306" s="99"/>
      <c r="C306" s="100"/>
      <c r="E306" s="100"/>
    </row>
    <row r="307" spans="1:5" ht="15.75">
      <c r="A307" s="91" t="s">
        <v>548</v>
      </c>
      <c r="C307" s="93">
        <v>296073.41</v>
      </c>
      <c r="E307" s="93">
        <f>SUM(E309:E310)</f>
        <v>322107.14</v>
      </c>
    </row>
    <row r="308" ht="15.75">
      <c r="A308" s="108"/>
    </row>
    <row r="309" spans="1:5" ht="15.75">
      <c r="A309" s="97" t="s">
        <v>18</v>
      </c>
      <c r="C309" s="100">
        <v>18097.58</v>
      </c>
      <c r="E309" s="100">
        <v>41967.38</v>
      </c>
    </row>
    <row r="310" spans="1:5" ht="31.5">
      <c r="A310" s="99" t="s">
        <v>751</v>
      </c>
      <c r="E310" s="100">
        <v>280139.76</v>
      </c>
    </row>
    <row r="311" ht="15.75">
      <c r="A311" s="91"/>
    </row>
    <row r="312" spans="1:5" ht="15.75">
      <c r="A312" s="91" t="s">
        <v>549</v>
      </c>
      <c r="C312" s="93">
        <v>155349.94</v>
      </c>
      <c r="E312" s="93">
        <f>SUM(E315:E326)</f>
        <v>189755.62999999998</v>
      </c>
    </row>
    <row r="313" ht="15.75">
      <c r="A313" s="85"/>
    </row>
    <row r="314" ht="15.75">
      <c r="A314" s="85" t="s">
        <v>19</v>
      </c>
    </row>
    <row r="315" ht="15.75">
      <c r="A315" s="85" t="s">
        <v>20</v>
      </c>
    </row>
    <row r="316" ht="15.75">
      <c r="A316" s="97" t="s">
        <v>21</v>
      </c>
    </row>
    <row r="317" spans="1:5" ht="15.75">
      <c r="A317" s="97" t="s">
        <v>22</v>
      </c>
      <c r="C317" s="100">
        <v>128300.47</v>
      </c>
      <c r="E317" s="100">
        <v>158782.37</v>
      </c>
    </row>
    <row r="318" spans="1:5" ht="15.75">
      <c r="A318" s="145" t="s">
        <v>752</v>
      </c>
      <c r="C318" s="100"/>
      <c r="E318" s="100">
        <v>700</v>
      </c>
    </row>
    <row r="319" ht="15.75">
      <c r="A319" s="97" t="s">
        <v>23</v>
      </c>
    </row>
    <row r="320" spans="1:5" ht="15.75">
      <c r="A320" s="97" t="s">
        <v>753</v>
      </c>
      <c r="C320" s="100">
        <v>7423.24</v>
      </c>
      <c r="E320" s="100">
        <v>6585.75</v>
      </c>
    </row>
    <row r="321" spans="1:5" ht="15.75">
      <c r="A321" s="97" t="s">
        <v>24</v>
      </c>
      <c r="C321" s="100">
        <v>2232.6</v>
      </c>
      <c r="E321" s="100">
        <v>2311.9</v>
      </c>
    </row>
    <row r="322" spans="1:5" ht="15.75">
      <c r="A322" s="145" t="s">
        <v>590</v>
      </c>
      <c r="C322" s="100"/>
      <c r="E322" s="100">
        <v>0</v>
      </c>
    </row>
    <row r="323" spans="1:5" ht="31.5">
      <c r="A323" s="99" t="s">
        <v>25</v>
      </c>
      <c r="E323" s="100">
        <v>12981.5</v>
      </c>
    </row>
    <row r="324" spans="1:5" ht="15.75">
      <c r="A324" s="97" t="s">
        <v>178</v>
      </c>
      <c r="C324" s="100">
        <v>917.37</v>
      </c>
      <c r="E324" s="100">
        <v>128.8</v>
      </c>
    </row>
    <row r="325" spans="1:5" ht="15.75">
      <c r="A325" s="145" t="s">
        <v>149</v>
      </c>
      <c r="C325" s="100"/>
      <c r="E325" s="100">
        <v>254.79</v>
      </c>
    </row>
    <row r="326" spans="1:5" ht="15.75">
      <c r="A326" s="99" t="s">
        <v>754</v>
      </c>
      <c r="C326" s="100"/>
      <c r="E326" s="100">
        <v>8010.52</v>
      </c>
    </row>
    <row r="327" spans="1:5" ht="15.75">
      <c r="A327" s="145"/>
      <c r="C327" s="100"/>
      <c r="E327" s="100"/>
    </row>
    <row r="328" spans="1:5" ht="15.75">
      <c r="A328" s="91" t="s">
        <v>550</v>
      </c>
      <c r="C328" s="93">
        <v>22686.03</v>
      </c>
      <c r="E328" s="93">
        <f>SUM(E330:E332)</f>
        <v>16386.1</v>
      </c>
    </row>
    <row r="329" ht="15.75">
      <c r="A329" s="85"/>
    </row>
    <row r="330" spans="1:5" ht="15.75">
      <c r="A330" s="97" t="s">
        <v>26</v>
      </c>
      <c r="C330" s="100">
        <v>16319.5</v>
      </c>
      <c r="E330" s="100">
        <v>15057.5</v>
      </c>
    </row>
    <row r="331" spans="1:5" ht="15.75">
      <c r="A331" s="97" t="s">
        <v>178</v>
      </c>
      <c r="C331" s="100"/>
      <c r="E331" s="100">
        <v>1328.6</v>
      </c>
    </row>
    <row r="332" spans="1:5" ht="15.75">
      <c r="A332" s="99"/>
      <c r="C332" s="100"/>
      <c r="E332" s="100"/>
    </row>
    <row r="333" spans="1:5" ht="15.75">
      <c r="A333" s="91" t="s">
        <v>551</v>
      </c>
      <c r="C333" s="93">
        <v>27282</v>
      </c>
      <c r="E333" s="93">
        <f>SUM(E335:E338)</f>
        <v>100491</v>
      </c>
    </row>
    <row r="334" spans="1:5" ht="15.75">
      <c r="A334" s="91"/>
      <c r="C334" s="93"/>
      <c r="E334" s="93"/>
    </row>
    <row r="335" spans="1:5" ht="31.5">
      <c r="A335" s="99" t="s">
        <v>150</v>
      </c>
      <c r="C335" s="93"/>
      <c r="E335" s="100">
        <v>600</v>
      </c>
    </row>
    <row r="336" spans="1:5" ht="15.75">
      <c r="A336" s="636" t="s">
        <v>151</v>
      </c>
      <c r="C336" s="93"/>
      <c r="E336" s="100">
        <v>2230</v>
      </c>
    </row>
    <row r="337" spans="1:5" ht="31.5">
      <c r="A337" s="636" t="s">
        <v>152</v>
      </c>
      <c r="C337" s="93"/>
      <c r="E337" s="100">
        <v>57146</v>
      </c>
    </row>
    <row r="338" spans="1:5" ht="31.5">
      <c r="A338" s="99" t="s">
        <v>27</v>
      </c>
      <c r="E338" s="100">
        <v>40515</v>
      </c>
    </row>
    <row r="339" spans="1:5" ht="15.75">
      <c r="A339" s="99"/>
      <c r="E339" s="100"/>
    </row>
    <row r="340" spans="1:5" ht="15.75">
      <c r="A340" s="95" t="s">
        <v>28</v>
      </c>
      <c r="C340" s="96">
        <v>67800</v>
      </c>
      <c r="E340" s="96">
        <f>SUM(E343:E358)</f>
        <v>158263.3</v>
      </c>
    </row>
    <row r="341" ht="15.75">
      <c r="A341" s="85"/>
    </row>
    <row r="342" spans="1:5" ht="15.75">
      <c r="A342" s="85" t="s">
        <v>997</v>
      </c>
      <c r="E342" s="100"/>
    </row>
    <row r="343" spans="1:5" ht="31.5">
      <c r="A343" s="101" t="s">
        <v>153</v>
      </c>
      <c r="E343" s="100">
        <v>16964.63</v>
      </c>
    </row>
    <row r="344" spans="1:5" ht="31.5">
      <c r="A344" s="101" t="s">
        <v>29</v>
      </c>
      <c r="E344" s="100">
        <v>9300</v>
      </c>
    </row>
    <row r="345" spans="1:5" ht="15.75">
      <c r="A345" s="101" t="s">
        <v>154</v>
      </c>
      <c r="E345" s="100">
        <v>2756.68</v>
      </c>
    </row>
    <row r="346" spans="1:5" ht="31.5" hidden="1">
      <c r="A346" s="99" t="s">
        <v>910</v>
      </c>
      <c r="E346" s="100"/>
    </row>
    <row r="347" spans="1:5" ht="15.75">
      <c r="A347" s="101" t="s">
        <v>30</v>
      </c>
      <c r="E347" s="100">
        <v>4745.73</v>
      </c>
    </row>
    <row r="348" spans="1:5" ht="15.75">
      <c r="A348" s="101" t="s">
        <v>755</v>
      </c>
      <c r="E348" s="100">
        <v>4607.13</v>
      </c>
    </row>
    <row r="349" spans="1:5" ht="15.75">
      <c r="A349" s="101" t="s">
        <v>990</v>
      </c>
      <c r="E349" s="100">
        <v>6380.6</v>
      </c>
    </row>
    <row r="350" spans="1:5" ht="15.75">
      <c r="A350" s="101" t="s">
        <v>929</v>
      </c>
      <c r="E350" s="100">
        <f>6828.73+5936.87+4657.7</f>
        <v>17423.3</v>
      </c>
    </row>
    <row r="351" spans="1:5" ht="35.25" customHeight="1">
      <c r="A351" s="101" t="s">
        <v>306</v>
      </c>
      <c r="E351" s="100">
        <v>2541</v>
      </c>
    </row>
    <row r="352" spans="1:5" ht="51.75" customHeight="1">
      <c r="A352" s="101" t="s">
        <v>991</v>
      </c>
      <c r="E352" s="100">
        <v>1968.67</v>
      </c>
    </row>
    <row r="353" spans="1:5" ht="15.75">
      <c r="A353" s="101" t="s">
        <v>930</v>
      </c>
      <c r="E353" s="100">
        <v>10095.74</v>
      </c>
    </row>
    <row r="354" spans="1:5" ht="31.5">
      <c r="A354" s="101" t="s">
        <v>992</v>
      </c>
      <c r="E354" s="100">
        <f>89143.88-E343-E344-E345-E347-E348-E349-E350-E351-E352-E353</f>
        <v>12360.4</v>
      </c>
    </row>
    <row r="355" spans="1:5" ht="15.75">
      <c r="A355" s="23" t="s">
        <v>993</v>
      </c>
      <c r="E355" s="100"/>
    </row>
    <row r="356" spans="1:5" ht="15.75">
      <c r="A356" s="636" t="s">
        <v>994</v>
      </c>
      <c r="E356" s="100">
        <v>17957.42</v>
      </c>
    </row>
    <row r="357" spans="1:5" ht="15.75">
      <c r="A357" s="636" t="s">
        <v>995</v>
      </c>
      <c r="E357" s="100">
        <v>5000</v>
      </c>
    </row>
    <row r="358" spans="1:5" ht="15.75">
      <c r="A358" s="636" t="s">
        <v>996</v>
      </c>
      <c r="E358" s="100">
        <v>46162</v>
      </c>
    </row>
    <row r="360" spans="1:5" ht="15.75">
      <c r="A360" s="95" t="s">
        <v>931</v>
      </c>
      <c r="C360" s="96">
        <v>1545049.14</v>
      </c>
      <c r="E360" s="96">
        <f>E362+E385+E391+E402+E405+E431+E426</f>
        <v>2676345.87</v>
      </c>
    </row>
    <row r="361" ht="15.75">
      <c r="A361" s="85"/>
    </row>
    <row r="362" spans="1:5" ht="15.75">
      <c r="A362" s="85" t="s">
        <v>932</v>
      </c>
      <c r="C362" s="100">
        <v>640921.78</v>
      </c>
      <c r="E362" s="93">
        <f>SUM(E364:E383)</f>
        <v>1772810.12</v>
      </c>
    </row>
    <row r="363" ht="15.75">
      <c r="A363" s="85" t="s">
        <v>744</v>
      </c>
    </row>
    <row r="364" spans="1:5" ht="15.75">
      <c r="A364" s="99" t="s">
        <v>999</v>
      </c>
      <c r="C364" s="100">
        <v>155804</v>
      </c>
      <c r="E364" s="100">
        <v>637668</v>
      </c>
    </row>
    <row r="365" ht="15.75">
      <c r="A365" s="99" t="s">
        <v>933</v>
      </c>
    </row>
    <row r="366" spans="1:5" ht="15.75">
      <c r="A366" s="109" t="s">
        <v>1000</v>
      </c>
      <c r="C366" s="100">
        <v>6000</v>
      </c>
      <c r="E366" s="100">
        <v>42000</v>
      </c>
    </row>
    <row r="367" spans="1:5" ht="31.5">
      <c r="A367" s="109" t="s">
        <v>1001</v>
      </c>
      <c r="E367" s="100">
        <v>161067.3</v>
      </c>
    </row>
    <row r="368" spans="1:5" ht="31.5">
      <c r="A368" s="109" t="s">
        <v>934</v>
      </c>
      <c r="E368" s="100">
        <v>0</v>
      </c>
    </row>
    <row r="369" spans="1:5" ht="31.5">
      <c r="A369" s="109" t="s">
        <v>1002</v>
      </c>
      <c r="C369" s="93">
        <v>214038</v>
      </c>
      <c r="E369" s="100">
        <v>87190</v>
      </c>
    </row>
    <row r="370" spans="1:5" ht="31.5">
      <c r="A370" s="109" t="s">
        <v>556</v>
      </c>
      <c r="C370" s="93">
        <v>214038</v>
      </c>
      <c r="E370" s="100">
        <v>0</v>
      </c>
    </row>
    <row r="371" spans="1:5" ht="31.5">
      <c r="A371" s="109" t="s">
        <v>232</v>
      </c>
      <c r="E371" s="100">
        <v>4620</v>
      </c>
    </row>
    <row r="372" spans="1:5" ht="31.5">
      <c r="A372" s="109" t="s">
        <v>1003</v>
      </c>
      <c r="E372" s="100">
        <v>30960</v>
      </c>
    </row>
    <row r="373" spans="1:5" ht="15.75">
      <c r="A373" s="101" t="s">
        <v>1004</v>
      </c>
      <c r="E373" s="100">
        <v>57600</v>
      </c>
    </row>
    <row r="374" spans="1:5" ht="31.5">
      <c r="A374" s="109" t="s">
        <v>1005</v>
      </c>
      <c r="E374" s="100">
        <v>8590</v>
      </c>
    </row>
    <row r="375" spans="1:5" ht="31.5">
      <c r="A375" s="109" t="s">
        <v>1006</v>
      </c>
      <c r="E375" s="100">
        <v>66100</v>
      </c>
    </row>
    <row r="376" spans="1:5" ht="15.75">
      <c r="A376" s="101" t="s">
        <v>1007</v>
      </c>
      <c r="E376" s="100">
        <v>140320</v>
      </c>
    </row>
    <row r="377" spans="1:11" s="89" customFormat="1" ht="15.75">
      <c r="A377" s="99" t="s">
        <v>935</v>
      </c>
      <c r="B377" s="24"/>
      <c r="C377" s="93">
        <v>11053.88</v>
      </c>
      <c r="D377" s="24"/>
      <c r="E377" s="100">
        <v>16913.22</v>
      </c>
      <c r="F377" s="100"/>
      <c r="G377" s="110"/>
      <c r="H377" s="110"/>
      <c r="I377" s="110"/>
      <c r="J377" s="110"/>
      <c r="K377" s="110"/>
    </row>
    <row r="378" spans="1:5" ht="15.75">
      <c r="A378" s="99" t="s">
        <v>1008</v>
      </c>
      <c r="C378" s="100">
        <v>28800</v>
      </c>
      <c r="E378" s="100">
        <v>197829</v>
      </c>
    </row>
    <row r="379" spans="1:5" ht="15.75">
      <c r="A379" s="105" t="s">
        <v>1009</v>
      </c>
      <c r="C379" s="93">
        <v>41972</v>
      </c>
      <c r="E379" s="100">
        <v>69720</v>
      </c>
    </row>
    <row r="380" spans="1:5" ht="15.75">
      <c r="A380" s="105" t="s">
        <v>1010</v>
      </c>
      <c r="C380" s="93"/>
      <c r="E380" s="100">
        <v>96000</v>
      </c>
    </row>
    <row r="381" spans="1:5" ht="15.75">
      <c r="A381" s="105" t="s">
        <v>998</v>
      </c>
      <c r="C381" s="93">
        <v>41972</v>
      </c>
      <c r="E381" s="100">
        <v>98229.59</v>
      </c>
    </row>
    <row r="382" spans="1:5" ht="31.5">
      <c r="A382" s="105" t="s">
        <v>936</v>
      </c>
      <c r="E382" s="100">
        <v>52684.76</v>
      </c>
    </row>
    <row r="383" spans="1:5" ht="15.75">
      <c r="A383" s="99" t="s">
        <v>937</v>
      </c>
      <c r="C383" s="93"/>
      <c r="E383" s="100">
        <f>5318.25</f>
        <v>5318.25</v>
      </c>
    </row>
    <row r="384" spans="1:5" ht="15.75">
      <c r="A384" s="99"/>
      <c r="C384" s="93"/>
      <c r="E384" s="637"/>
    </row>
    <row r="385" spans="1:5" ht="15.75">
      <c r="A385" s="91" t="s">
        <v>938</v>
      </c>
      <c r="C385" s="93"/>
      <c r="E385" s="93">
        <f>SUM(E387:E389)</f>
        <v>57664.10999999999</v>
      </c>
    </row>
    <row r="386" spans="1:5" ht="15.75">
      <c r="A386" s="766" t="s">
        <v>369</v>
      </c>
      <c r="B386" s="766"/>
      <c r="C386" s="766"/>
      <c r="D386" s="766"/>
      <c r="E386" s="766"/>
    </row>
    <row r="387" spans="1:5" ht="15.75">
      <c r="A387" s="99" t="s">
        <v>366</v>
      </c>
      <c r="C387" s="100">
        <v>15838.49</v>
      </c>
      <c r="E387" s="100">
        <v>31418.7</v>
      </c>
    </row>
    <row r="388" spans="1:5" ht="15.75">
      <c r="A388" s="99" t="s">
        <v>367</v>
      </c>
      <c r="C388" s="100">
        <v>12877</v>
      </c>
      <c r="E388" s="100">
        <v>23680.89</v>
      </c>
    </row>
    <row r="389" spans="1:5" ht="15.75">
      <c r="A389" s="99" t="s">
        <v>368</v>
      </c>
      <c r="C389" s="100">
        <v>2234.55</v>
      </c>
      <c r="E389" s="100">
        <v>2564.52</v>
      </c>
    </row>
    <row r="390" ht="15.75">
      <c r="A390" s="85"/>
    </row>
    <row r="391" spans="1:5" ht="15.75">
      <c r="A391" s="91" t="s">
        <v>555</v>
      </c>
      <c r="C391" s="100">
        <v>211050</v>
      </c>
      <c r="E391" s="93">
        <f>SUM(E393:E400)</f>
        <v>174561.56</v>
      </c>
    </row>
    <row r="392" ht="15.75">
      <c r="A392" s="85" t="s">
        <v>370</v>
      </c>
    </row>
    <row r="393" spans="1:5" ht="15.75">
      <c r="A393" s="97" t="s">
        <v>939</v>
      </c>
      <c r="C393" s="100">
        <v>21197.25</v>
      </c>
      <c r="E393" s="100">
        <v>13259.06</v>
      </c>
    </row>
    <row r="394" spans="1:5" ht="15.75">
      <c r="A394" s="99" t="s">
        <v>940</v>
      </c>
      <c r="C394" s="100"/>
      <c r="E394" s="100">
        <v>4990</v>
      </c>
    </row>
    <row r="395" spans="1:5" ht="15.75">
      <c r="A395" s="99" t="s">
        <v>941</v>
      </c>
      <c r="C395" s="100">
        <v>45677.02</v>
      </c>
      <c r="E395" s="100">
        <v>36870.13</v>
      </c>
    </row>
    <row r="396" spans="1:5" ht="15.75">
      <c r="A396" s="99" t="s">
        <v>942</v>
      </c>
      <c r="C396" s="100">
        <v>45677.02</v>
      </c>
      <c r="E396" s="100">
        <v>7192</v>
      </c>
    </row>
    <row r="397" spans="1:5" ht="15.75">
      <c r="A397" s="99" t="s">
        <v>943</v>
      </c>
      <c r="C397" s="100">
        <v>21197.25</v>
      </c>
      <c r="E397" s="100">
        <v>16283.74</v>
      </c>
    </row>
    <row r="398" spans="1:5" ht="15.75">
      <c r="A398" s="99" t="s">
        <v>756</v>
      </c>
      <c r="C398" s="100">
        <v>21197.25</v>
      </c>
      <c r="E398" s="100">
        <v>2130</v>
      </c>
    </row>
    <row r="399" spans="1:5" ht="15.75">
      <c r="A399" s="99" t="s">
        <v>137</v>
      </c>
      <c r="C399" s="100"/>
      <c r="E399" s="100">
        <v>64561.56</v>
      </c>
    </row>
    <row r="400" spans="1:5" ht="15.75">
      <c r="A400" s="111" t="s">
        <v>138</v>
      </c>
      <c r="C400" s="100">
        <v>44543.76</v>
      </c>
      <c r="E400" s="100">
        <v>29275.07</v>
      </c>
    </row>
    <row r="401" spans="1:5" ht="15.75">
      <c r="A401" s="91"/>
      <c r="E401" s="110"/>
    </row>
    <row r="402" spans="1:5" ht="15.75">
      <c r="A402" s="91" t="s">
        <v>554</v>
      </c>
      <c r="C402" s="93">
        <v>251139</v>
      </c>
      <c r="E402" s="93">
        <f>E403</f>
        <v>177373</v>
      </c>
    </row>
    <row r="403" spans="1:5" ht="15.75">
      <c r="A403" s="97" t="s">
        <v>757</v>
      </c>
      <c r="E403" s="100">
        <v>177373</v>
      </c>
    </row>
    <row r="404" spans="1:5" ht="15.75">
      <c r="A404" s="91"/>
      <c r="E404" s="110"/>
    </row>
    <row r="405" spans="1:5" ht="15.75">
      <c r="A405" s="91" t="s">
        <v>552</v>
      </c>
      <c r="C405" s="93">
        <v>156096.3</v>
      </c>
      <c r="E405" s="93">
        <f>SUM(E406:E429)</f>
        <v>420700.00000000006</v>
      </c>
    </row>
    <row r="406" spans="1:5" ht="15.75">
      <c r="A406" s="97" t="s">
        <v>842</v>
      </c>
      <c r="C406" s="100">
        <v>204.17</v>
      </c>
      <c r="E406" s="100">
        <v>8189.25</v>
      </c>
    </row>
    <row r="407" spans="1:5" ht="15.75">
      <c r="A407" s="97" t="s">
        <v>843</v>
      </c>
      <c r="C407" s="100">
        <v>86127.19</v>
      </c>
      <c r="E407" s="100">
        <v>255500</v>
      </c>
    </row>
    <row r="408" spans="1:5" ht="15.75">
      <c r="A408" s="97" t="s">
        <v>844</v>
      </c>
      <c r="C408" s="100">
        <v>13390</v>
      </c>
      <c r="E408" s="100">
        <v>18932.53</v>
      </c>
    </row>
    <row r="409" spans="1:5" ht="15.75">
      <c r="A409" s="97" t="s">
        <v>845</v>
      </c>
      <c r="C409" s="100">
        <v>18645.74</v>
      </c>
      <c r="E409" s="100">
        <v>48712.25</v>
      </c>
    </row>
    <row r="410" spans="1:5" ht="15.75">
      <c r="A410" s="97" t="s">
        <v>846</v>
      </c>
      <c r="C410" s="100">
        <v>2504.04</v>
      </c>
      <c r="E410" s="100">
        <v>6608.25</v>
      </c>
    </row>
    <row r="411" spans="1:5" ht="15.75">
      <c r="A411" s="99" t="s">
        <v>847</v>
      </c>
      <c r="C411" s="100">
        <v>9350.43</v>
      </c>
      <c r="E411" s="100">
        <v>2761.2</v>
      </c>
    </row>
    <row r="412" spans="1:5" ht="15.75">
      <c r="A412" s="97" t="s">
        <v>848</v>
      </c>
      <c r="C412" s="100">
        <v>9350.43</v>
      </c>
      <c r="E412" s="100">
        <v>11801.42</v>
      </c>
    </row>
    <row r="413" spans="1:5" ht="15.75">
      <c r="A413" s="97" t="s">
        <v>849</v>
      </c>
      <c r="C413" s="100">
        <v>2991.71</v>
      </c>
      <c r="E413" s="100">
        <v>9409.64</v>
      </c>
    </row>
    <row r="414" spans="1:5" ht="15.75">
      <c r="A414" s="97" t="s">
        <v>850</v>
      </c>
      <c r="C414" s="100">
        <v>14960.33</v>
      </c>
      <c r="E414" s="745">
        <v>10547.32</v>
      </c>
    </row>
    <row r="415" spans="1:5" ht="31.5">
      <c r="A415" s="109" t="s">
        <v>851</v>
      </c>
      <c r="E415" s="745"/>
    </row>
    <row r="416" spans="1:5" ht="15.75">
      <c r="A416" s="97" t="s">
        <v>852</v>
      </c>
      <c r="C416" s="100">
        <v>649.6</v>
      </c>
      <c r="E416" s="100">
        <v>4343.2</v>
      </c>
    </row>
    <row r="417" spans="1:5" ht="15.75">
      <c r="A417" s="99" t="s">
        <v>758</v>
      </c>
      <c r="C417" s="100">
        <v>649.6</v>
      </c>
      <c r="E417" s="100">
        <v>3435</v>
      </c>
    </row>
    <row r="418" spans="1:5" ht="15.75">
      <c r="A418" s="99" t="s">
        <v>759</v>
      </c>
      <c r="C418" s="100"/>
      <c r="E418" s="100">
        <v>561</v>
      </c>
    </row>
    <row r="419" spans="1:5" ht="15.75">
      <c r="A419" s="99" t="s">
        <v>760</v>
      </c>
      <c r="C419" s="100"/>
      <c r="E419" s="100">
        <v>5770.43</v>
      </c>
    </row>
    <row r="420" spans="1:5" ht="15.75">
      <c r="A420" s="99" t="s">
        <v>1135</v>
      </c>
      <c r="C420" s="100"/>
      <c r="E420" s="100">
        <v>755.07</v>
      </c>
    </row>
    <row r="421" spans="1:5" ht="15.75">
      <c r="A421" s="99" t="s">
        <v>761</v>
      </c>
      <c r="C421" s="100"/>
      <c r="E421" s="100">
        <v>8337.62</v>
      </c>
    </row>
    <row r="422" spans="1:5" ht="15.75">
      <c r="A422" s="99" t="s">
        <v>762</v>
      </c>
      <c r="C422" s="100"/>
      <c r="E422" s="100">
        <v>2589.76</v>
      </c>
    </row>
    <row r="423" spans="1:5" ht="15.75">
      <c r="A423" s="97" t="s">
        <v>853</v>
      </c>
      <c r="C423" s="100">
        <v>5273.09</v>
      </c>
      <c r="E423" s="100">
        <v>7263.96</v>
      </c>
    </row>
    <row r="424" spans="1:5" ht="15.75">
      <c r="A424" s="97" t="s">
        <v>854</v>
      </c>
      <c r="C424" s="100">
        <v>2000</v>
      </c>
      <c r="E424" s="100">
        <v>7912</v>
      </c>
    </row>
    <row r="425" spans="1:5" ht="15.75">
      <c r="A425" s="99" t="s">
        <v>1134</v>
      </c>
      <c r="E425" s="100">
        <v>340.5</v>
      </c>
    </row>
    <row r="426" spans="1:5" ht="15.75" hidden="1">
      <c r="A426" s="91" t="s">
        <v>855</v>
      </c>
      <c r="E426" s="94">
        <f>E427</f>
        <v>0</v>
      </c>
    </row>
    <row r="427" spans="1:5" ht="15.75" hidden="1">
      <c r="A427" s="85" t="s">
        <v>856</v>
      </c>
      <c r="E427" s="100"/>
    </row>
    <row r="428" ht="15.75" hidden="1">
      <c r="A428" s="85"/>
    </row>
    <row r="429" spans="1:5" ht="15.75">
      <c r="A429" s="99" t="s">
        <v>1136</v>
      </c>
      <c r="E429" s="100">
        <v>6929.6</v>
      </c>
    </row>
    <row r="430" ht="15.75">
      <c r="A430" s="85"/>
    </row>
    <row r="431" spans="1:5" ht="15.75">
      <c r="A431" s="91" t="s">
        <v>553</v>
      </c>
      <c r="C431" s="93">
        <v>9128.15</v>
      </c>
      <c r="E431" s="93">
        <f>E435+E436+E437+E433</f>
        <v>73237.08</v>
      </c>
    </row>
    <row r="432" spans="1:5" ht="15.75">
      <c r="A432" s="91" t="s">
        <v>763</v>
      </c>
      <c r="C432" s="93"/>
      <c r="E432" s="93"/>
    </row>
    <row r="433" spans="1:5" ht="15.75">
      <c r="A433" s="85" t="s">
        <v>1137</v>
      </c>
      <c r="C433" s="93"/>
      <c r="E433" s="100">
        <v>17711.07</v>
      </c>
    </row>
    <row r="434" spans="1:5" ht="15.75">
      <c r="A434" s="85" t="s">
        <v>1138</v>
      </c>
      <c r="C434" s="93"/>
      <c r="E434" s="93"/>
    </row>
    <row r="435" spans="1:5" ht="15.75">
      <c r="A435" s="99" t="s">
        <v>857</v>
      </c>
      <c r="E435" s="100">
        <v>30537.08</v>
      </c>
    </row>
    <row r="436" spans="1:5" ht="15.75">
      <c r="A436" s="99" t="s">
        <v>858</v>
      </c>
      <c r="E436" s="100">
        <v>24988.93</v>
      </c>
    </row>
    <row r="437" spans="1:5" ht="15.75">
      <c r="A437" s="99"/>
      <c r="E437" s="100"/>
    </row>
    <row r="438" spans="1:5" ht="15.75">
      <c r="A438" s="95" t="s">
        <v>859</v>
      </c>
      <c r="C438" s="96">
        <v>456900</v>
      </c>
      <c r="E438" s="96">
        <f>SUM(E440:E443)</f>
        <v>120180.06999999999</v>
      </c>
    </row>
    <row r="439" ht="15.75">
      <c r="A439" s="85" t="s">
        <v>1012</v>
      </c>
    </row>
    <row r="440" spans="1:5" ht="31.5">
      <c r="A440" s="112" t="s">
        <v>1011</v>
      </c>
      <c r="E440" s="100">
        <v>29740.24</v>
      </c>
    </row>
    <row r="441" spans="1:5" ht="15.75">
      <c r="A441" s="112" t="s">
        <v>764</v>
      </c>
      <c r="E441" s="100">
        <v>240</v>
      </c>
    </row>
    <row r="442" spans="1:5" ht="31.5">
      <c r="A442" s="85" t="s">
        <v>1013</v>
      </c>
      <c r="E442" s="100">
        <v>80004.93</v>
      </c>
    </row>
    <row r="443" spans="1:5" ht="15.75">
      <c r="A443" s="85" t="s">
        <v>1014</v>
      </c>
      <c r="E443" s="100">
        <v>10194.9</v>
      </c>
    </row>
    <row r="444" ht="15.75">
      <c r="A444" s="85"/>
    </row>
    <row r="445" spans="1:5" ht="31.5">
      <c r="A445" s="20" t="s">
        <v>860</v>
      </c>
      <c r="C445" s="96">
        <v>399581.73</v>
      </c>
      <c r="E445" s="96">
        <f>SUM(E448:E456)</f>
        <v>568919.75</v>
      </c>
    </row>
    <row r="446" spans="1:5" ht="15.75">
      <c r="A446" s="20"/>
      <c r="C446" s="96"/>
      <c r="E446" s="96"/>
    </row>
    <row r="447" ht="20.25" customHeight="1">
      <c r="A447" s="85" t="s">
        <v>744</v>
      </c>
    </row>
    <row r="448" spans="1:5" ht="15.75">
      <c r="A448" s="99" t="s">
        <v>861</v>
      </c>
      <c r="C448" s="93">
        <v>196591.14</v>
      </c>
      <c r="E448" s="100">
        <f>103573.78+194981.23</f>
        <v>298555.01</v>
      </c>
    </row>
    <row r="449" spans="1:11" s="102" customFormat="1" ht="15.75">
      <c r="A449" s="99" t="s">
        <v>765</v>
      </c>
      <c r="C449" s="93">
        <v>196591.14</v>
      </c>
      <c r="E449" s="100">
        <v>31476</v>
      </c>
      <c r="F449" s="100"/>
      <c r="G449" s="100"/>
      <c r="H449" s="100"/>
      <c r="I449" s="100"/>
      <c r="J449" s="100"/>
      <c r="K449" s="100"/>
    </row>
    <row r="450" spans="1:11" s="102" customFormat="1" ht="15.75">
      <c r="A450" s="99" t="s">
        <v>1015</v>
      </c>
      <c r="C450" s="93"/>
      <c r="E450" s="100">
        <f>39650+1098+3800+16987.61+4558.74</f>
        <v>66094.35</v>
      </c>
      <c r="F450" s="100"/>
      <c r="G450" s="100"/>
      <c r="H450" s="100"/>
      <c r="I450" s="100"/>
      <c r="J450" s="100"/>
      <c r="K450" s="100"/>
    </row>
    <row r="451" spans="1:11" s="102" customFormat="1" ht="15.75">
      <c r="A451" s="99" t="s">
        <v>766</v>
      </c>
      <c r="C451" s="93"/>
      <c r="E451" s="100">
        <v>89186.83</v>
      </c>
      <c r="F451" s="100"/>
      <c r="G451" s="100"/>
      <c r="H451" s="100"/>
      <c r="I451" s="100"/>
      <c r="J451" s="100"/>
      <c r="K451" s="100"/>
    </row>
    <row r="452" spans="1:11" s="102" customFormat="1" ht="15.75">
      <c r="A452" s="99" t="s">
        <v>767</v>
      </c>
      <c r="C452" s="93"/>
      <c r="E452" s="100">
        <v>2440</v>
      </c>
      <c r="F452" s="100"/>
      <c r="G452" s="100"/>
      <c r="H452" s="100"/>
      <c r="I452" s="100"/>
      <c r="J452" s="100"/>
      <c r="K452" s="100"/>
    </row>
    <row r="453" spans="1:5" ht="15.75">
      <c r="A453" s="97" t="s">
        <v>862</v>
      </c>
      <c r="C453" s="100">
        <v>10188.98</v>
      </c>
      <c r="E453" s="100">
        <f>599.13+2343.24+2001.8+1053.8+2979.05+2999.13</f>
        <v>11976.150000000001</v>
      </c>
    </row>
    <row r="454" spans="1:5" ht="15.75">
      <c r="A454" s="97" t="s">
        <v>863</v>
      </c>
      <c r="C454" s="100">
        <v>3810.89</v>
      </c>
      <c r="E454" s="100">
        <f>1253.17+7170.97+528+282+192+642+90+131.97+372+28.8+380.06+15.74+65.4+19.06+10813.97</f>
        <v>21985.139999999996</v>
      </c>
    </row>
    <row r="455" spans="1:5" ht="15.75">
      <c r="A455" s="99" t="s">
        <v>768</v>
      </c>
      <c r="C455" s="100">
        <v>3810.89</v>
      </c>
      <c r="E455" s="100">
        <f>6420+5938.5+6259.5+6259.5+5306.64+5784.23+4848.19+5535.71</f>
        <v>46352.27</v>
      </c>
    </row>
    <row r="456" spans="1:5" ht="15.75">
      <c r="A456" s="99" t="s">
        <v>769</v>
      </c>
      <c r="C456" s="100"/>
      <c r="E456" s="100">
        <v>854</v>
      </c>
    </row>
    <row r="457" spans="1:5" ht="15.75">
      <c r="A457" s="99"/>
      <c r="C457" s="100"/>
      <c r="E457" s="100"/>
    </row>
    <row r="458" spans="1:5" ht="15.75">
      <c r="A458" s="95" t="s">
        <v>864</v>
      </c>
      <c r="C458" s="96">
        <v>456900</v>
      </c>
      <c r="E458" s="96">
        <f>SUM(E461:E462)</f>
        <v>575500</v>
      </c>
    </row>
    <row r="459" spans="1:5" ht="15.75">
      <c r="A459" s="95"/>
      <c r="C459" s="96"/>
      <c r="E459" s="96"/>
    </row>
    <row r="460" ht="15.75">
      <c r="A460" s="85" t="s">
        <v>865</v>
      </c>
    </row>
    <row r="461" spans="1:5" ht="15.75">
      <c r="A461" s="99" t="s">
        <v>866</v>
      </c>
      <c r="C461" s="93">
        <v>176500</v>
      </c>
      <c r="E461" s="100">
        <v>230500</v>
      </c>
    </row>
    <row r="462" spans="1:5" ht="15.75">
      <c r="A462" s="99" t="s">
        <v>59</v>
      </c>
      <c r="C462" s="93">
        <v>280400</v>
      </c>
      <c r="E462" s="100">
        <v>345000</v>
      </c>
    </row>
    <row r="463" ht="15.75">
      <c r="A463" s="91"/>
    </row>
    <row r="464" spans="1:5" ht="15.75">
      <c r="A464" s="95" t="s">
        <v>60</v>
      </c>
      <c r="C464" s="96">
        <v>98509.61</v>
      </c>
      <c r="E464" s="96">
        <f>SUM(E467:E475)</f>
        <v>124937.43000000001</v>
      </c>
    </row>
    <row r="465" spans="1:5" ht="15.75">
      <c r="A465" s="95"/>
      <c r="C465" s="96"/>
      <c r="E465" s="96"/>
    </row>
    <row r="466" ht="15.75">
      <c r="A466" s="85" t="s">
        <v>744</v>
      </c>
    </row>
    <row r="467" spans="1:5" ht="31.5" hidden="1">
      <c r="A467" s="99" t="s">
        <v>61</v>
      </c>
      <c r="C467" s="100">
        <v>26525.91</v>
      </c>
      <c r="E467" s="100"/>
    </row>
    <row r="468" spans="1:5" ht="31.5">
      <c r="A468" s="99" t="s">
        <v>660</v>
      </c>
      <c r="C468" s="100">
        <v>26525.91</v>
      </c>
      <c r="E468" s="100">
        <v>35700</v>
      </c>
    </row>
    <row r="469" spans="1:5" ht="15.75">
      <c r="A469" s="97" t="s">
        <v>62</v>
      </c>
      <c r="C469" s="100">
        <v>4291.18</v>
      </c>
      <c r="E469" s="100">
        <v>10770.96</v>
      </c>
    </row>
    <row r="470" spans="1:5" ht="15.75">
      <c r="A470" s="99" t="s">
        <v>661</v>
      </c>
      <c r="C470" s="100">
        <v>2037.5</v>
      </c>
      <c r="E470" s="100">
        <v>60</v>
      </c>
    </row>
    <row r="471" spans="1:5" ht="15.75">
      <c r="A471" s="99" t="s">
        <v>63</v>
      </c>
      <c r="C471" s="100">
        <v>7117.8</v>
      </c>
      <c r="E471" s="100">
        <f>266.99+266.99+840.16+352.43+266.99+427.18+198.64+293.69+694.18+5941.4+620.07+267+324.45+373.8+373.8+1051.94+136+266.99+266.99+587.38+213.59+213.59+220+213.59-6.41+213.59</f>
        <v>14885.019999999999</v>
      </c>
    </row>
    <row r="472" spans="1:5" ht="31.5">
      <c r="A472" s="99" t="s">
        <v>1016</v>
      </c>
      <c r="C472" s="100">
        <v>2883.21</v>
      </c>
      <c r="E472" s="100">
        <f>239.8+1212.44+1708+982.1+919.43+539.6+699+2139.51</f>
        <v>8439.880000000001</v>
      </c>
    </row>
    <row r="473" spans="1:5" ht="15.75">
      <c r="A473" s="99" t="s">
        <v>1017</v>
      </c>
      <c r="C473" s="100"/>
      <c r="E473" s="100">
        <v>8003.2</v>
      </c>
    </row>
    <row r="474" spans="1:5" ht="15.75">
      <c r="A474" s="97" t="s">
        <v>64</v>
      </c>
      <c r="C474" s="100">
        <v>43678.61</v>
      </c>
      <c r="E474" s="100">
        <f>329.92+522+126.96+670.4+249.86+988.2+171.44+250+324.8+215.68+58.9+274.19+115+51.7+1500+329.78+149.07+200.38+199.84+276.12+238.45+154.1+1000+4000+3000+3500+1490+947.2+332.79+86.51+86.9+7500+105+122.32+800+450.01+298.14+677.58+350.18</f>
        <v>32143.420000000002</v>
      </c>
    </row>
    <row r="475" spans="1:5" ht="31.5">
      <c r="A475" s="99" t="s">
        <v>65</v>
      </c>
      <c r="E475" s="100">
        <f>89237.43-E469-E470-E471-E472-E473-E474</f>
        <v>14934.950000000008</v>
      </c>
    </row>
    <row r="476" spans="1:5" ht="15.75">
      <c r="A476" s="23"/>
      <c r="C476" s="93">
        <v>11507.5</v>
      </c>
      <c r="E476" s="24"/>
    </row>
    <row r="477" ht="15.75">
      <c r="A477" s="23"/>
    </row>
    <row r="478" ht="15.75">
      <c r="A478" s="85"/>
    </row>
    <row r="479" ht="15.75">
      <c r="A479" s="113"/>
    </row>
    <row r="480" ht="15.75">
      <c r="A480" s="113"/>
    </row>
    <row r="481" ht="15.75">
      <c r="A481" s="113"/>
    </row>
    <row r="482" ht="15.75">
      <c r="A482" s="113"/>
    </row>
    <row r="483" ht="15.75">
      <c r="A483" s="113"/>
    </row>
    <row r="484" ht="15.75">
      <c r="A484" s="113"/>
    </row>
    <row r="485" ht="15.75">
      <c r="A485" s="113"/>
    </row>
    <row r="486" ht="15.75">
      <c r="A486" s="113"/>
    </row>
    <row r="487" ht="15.75">
      <c r="A487" s="113"/>
    </row>
    <row r="488" ht="15.75">
      <c r="A488" s="113"/>
    </row>
    <row r="489" ht="15.75">
      <c r="A489" s="113"/>
    </row>
    <row r="490" ht="15.75">
      <c r="A490" s="113"/>
    </row>
    <row r="491" ht="15.75">
      <c r="A491" s="113"/>
    </row>
    <row r="492" ht="15.75">
      <c r="A492" s="113"/>
    </row>
    <row r="493" ht="15.75">
      <c r="A493" s="113"/>
    </row>
    <row r="494" ht="15.75">
      <c r="A494" s="113"/>
    </row>
    <row r="495" ht="15.75">
      <c r="A495" s="113"/>
    </row>
    <row r="496" ht="15.75">
      <c r="A496" s="113"/>
    </row>
    <row r="497" ht="15.75">
      <c r="A497" s="113"/>
    </row>
    <row r="498" ht="15.75">
      <c r="A498" s="113"/>
    </row>
    <row r="499" ht="15.75">
      <c r="A499" s="113"/>
    </row>
    <row r="500" spans="1:5" ht="18.75">
      <c r="A500" s="743"/>
      <c r="B500" s="743"/>
      <c r="C500" s="743"/>
      <c r="D500" s="743"/>
      <c r="E500" s="743"/>
    </row>
    <row r="501" spans="1:5" ht="18.75">
      <c r="A501" s="743"/>
      <c r="B501" s="743"/>
      <c r="C501" s="743"/>
      <c r="D501" s="743"/>
      <c r="E501" s="743"/>
    </row>
    <row r="502" spans="1:5" ht="18.75">
      <c r="A502" s="743"/>
      <c r="B502" s="743"/>
      <c r="C502" s="743"/>
      <c r="D502" s="743"/>
      <c r="E502" s="743"/>
    </row>
    <row r="503" ht="15.75">
      <c r="A503" s="85"/>
    </row>
    <row r="504" ht="15.75">
      <c r="A504" s="85"/>
    </row>
    <row r="505" ht="15.75">
      <c r="A505" s="85"/>
    </row>
    <row r="506" spans="1:10" ht="15.75">
      <c r="A506" s="95"/>
      <c r="E506" s="96"/>
      <c r="J506" s="96"/>
    </row>
    <row r="507" spans="1:5" ht="15.75">
      <c r="A507" s="85"/>
      <c r="E507" s="100"/>
    </row>
    <row r="508" spans="1:5" ht="15.75">
      <c r="A508" s="23"/>
      <c r="E508" s="100"/>
    </row>
    <row r="509" spans="1:6" ht="15.75">
      <c r="A509" s="23"/>
      <c r="E509" s="100"/>
      <c r="F509" s="115"/>
    </row>
    <row r="510" spans="1:9" ht="15.75">
      <c r="A510" s="23"/>
      <c r="E510" s="100"/>
      <c r="I510" s="115"/>
    </row>
    <row r="511" spans="1:5" ht="15.75">
      <c r="A511" s="85"/>
      <c r="E511" s="100"/>
    </row>
    <row r="512" spans="1:11" ht="15.75">
      <c r="A512" s="95"/>
      <c r="E512" s="96"/>
      <c r="K512" s="96"/>
    </row>
    <row r="513" spans="1:5" ht="15.75">
      <c r="A513" s="85"/>
      <c r="E513" s="100"/>
    </row>
    <row r="514" spans="1:5" ht="15.75">
      <c r="A514" s="85"/>
      <c r="E514" s="100"/>
    </row>
    <row r="515" spans="1:9" ht="15.75">
      <c r="A515" s="23"/>
      <c r="E515" s="100"/>
      <c r="I515" s="115"/>
    </row>
    <row r="516" spans="1:6" ht="15.75">
      <c r="A516" s="23"/>
      <c r="E516" s="100"/>
      <c r="F516" s="115"/>
    </row>
    <row r="517" spans="1:5" ht="15.75">
      <c r="A517" s="23"/>
      <c r="E517" s="100"/>
    </row>
    <row r="518" spans="1:8" ht="15.75">
      <c r="A518" s="23"/>
      <c r="E518" s="100"/>
      <c r="H518" s="115"/>
    </row>
    <row r="519" spans="1:9" ht="15.75">
      <c r="A519" s="23"/>
      <c r="E519" s="100"/>
      <c r="I519" s="115"/>
    </row>
    <row r="520" spans="1:5" ht="15.75">
      <c r="A520" s="23"/>
      <c r="E520" s="100"/>
    </row>
    <row r="521" spans="1:5" ht="15.75">
      <c r="A521" s="23"/>
      <c r="C521" s="100"/>
      <c r="E521" s="100"/>
    </row>
    <row r="522" ht="15.75">
      <c r="A522" s="23"/>
    </row>
    <row r="523" ht="15.75">
      <c r="A523" s="85"/>
    </row>
    <row r="524" ht="15.75">
      <c r="A524" s="85"/>
    </row>
    <row r="525" ht="15.75">
      <c r="A525" s="85"/>
    </row>
    <row r="526" ht="15.75">
      <c r="A526" s="85"/>
    </row>
    <row r="527" ht="15.75">
      <c r="A527" s="85"/>
    </row>
    <row r="528" ht="15.75">
      <c r="A528" s="85"/>
    </row>
    <row r="529" ht="15.75">
      <c r="A529" s="85"/>
    </row>
    <row r="530" ht="15.75">
      <c r="A530" s="85"/>
    </row>
    <row r="531" ht="15.75">
      <c r="A531" s="85"/>
    </row>
    <row r="532" ht="15.75">
      <c r="A532" s="85"/>
    </row>
    <row r="533" ht="15.75">
      <c r="A533" s="85"/>
    </row>
    <row r="534" ht="15.75">
      <c r="A534" s="85"/>
    </row>
    <row r="535" ht="15.75">
      <c r="A535" s="85"/>
    </row>
    <row r="536" ht="15.75">
      <c r="A536" s="85"/>
    </row>
    <row r="537" ht="15.75">
      <c r="A537" s="85"/>
    </row>
    <row r="538" ht="15.75">
      <c r="A538" s="85"/>
    </row>
    <row r="539" ht="15.75">
      <c r="A539" s="85"/>
    </row>
    <row r="540" ht="15.75">
      <c r="A540" s="85"/>
    </row>
    <row r="541" ht="15.75">
      <c r="A541" s="85"/>
    </row>
    <row r="542" ht="15.75">
      <c r="A542" s="85"/>
    </row>
    <row r="543" ht="15.75">
      <c r="A543" s="85"/>
    </row>
    <row r="544" ht="15.75">
      <c r="A544" s="85"/>
    </row>
    <row r="545" ht="15.75">
      <c r="A545" s="85"/>
    </row>
    <row r="546" ht="15.75">
      <c r="A546" s="85"/>
    </row>
    <row r="547" ht="15.75">
      <c r="A547" s="85"/>
    </row>
    <row r="548" ht="15.75">
      <c r="A548" s="85"/>
    </row>
    <row r="549" ht="15.75">
      <c r="A549" s="85"/>
    </row>
    <row r="550" ht="15.75">
      <c r="A550" s="85"/>
    </row>
    <row r="551" ht="15.75">
      <c r="A551" s="85"/>
    </row>
    <row r="552" ht="15.75">
      <c r="A552" s="85"/>
    </row>
    <row r="553" ht="15.75">
      <c r="A553" s="85"/>
    </row>
    <row r="554" ht="15.75">
      <c r="A554" s="85"/>
    </row>
    <row r="555" ht="18.75">
      <c r="A555" s="116"/>
    </row>
    <row r="556" ht="15.75">
      <c r="A556" s="85"/>
    </row>
    <row r="557" ht="15.75">
      <c r="A557" s="85"/>
    </row>
    <row r="558" ht="15.75">
      <c r="A558" s="85"/>
    </row>
    <row r="559" ht="15.75">
      <c r="A559" s="85"/>
    </row>
    <row r="560" spans="1:7" ht="15.75">
      <c r="A560" s="23"/>
      <c r="G560" s="115"/>
    </row>
    <row r="561" spans="1:6" ht="15.75">
      <c r="A561" s="23"/>
      <c r="F561" s="115"/>
    </row>
    <row r="562" ht="15.75">
      <c r="A562" s="23"/>
    </row>
    <row r="563" ht="15.75">
      <c r="A563" s="23"/>
    </row>
    <row r="564" ht="15.75">
      <c r="I564" s="100"/>
    </row>
    <row r="565" ht="15.75">
      <c r="A565" s="85"/>
    </row>
    <row r="566" spans="1:7" ht="15.75">
      <c r="A566" s="23"/>
      <c r="G566" s="115"/>
    </row>
    <row r="567" spans="1:7" ht="15.75">
      <c r="A567" s="23"/>
      <c r="G567" s="115"/>
    </row>
    <row r="568" ht="15.75">
      <c r="A568" s="23"/>
    </row>
    <row r="569" ht="15.75">
      <c r="A569" s="23"/>
    </row>
    <row r="570" spans="1:7" ht="15.75">
      <c r="A570" s="23"/>
      <c r="G570" s="115"/>
    </row>
    <row r="571" ht="15.75">
      <c r="A571" s="23"/>
    </row>
    <row r="572" ht="15.75">
      <c r="A572" s="23"/>
    </row>
    <row r="573" ht="15.75">
      <c r="A573" s="23"/>
    </row>
    <row r="574" spans="1:7" ht="15.75">
      <c r="A574" s="23"/>
      <c r="G574" s="115"/>
    </row>
    <row r="575" ht="15.75">
      <c r="A575" s="23"/>
    </row>
    <row r="576" ht="15.75">
      <c r="A576" s="85"/>
    </row>
    <row r="577" ht="15.75">
      <c r="A577" s="85"/>
    </row>
    <row r="578" ht="15.75">
      <c r="A578" s="85"/>
    </row>
    <row r="579" ht="15.75">
      <c r="A579" s="85"/>
    </row>
    <row r="580" ht="15.75">
      <c r="A580" s="85"/>
    </row>
    <row r="581" ht="15.75">
      <c r="A581" s="85"/>
    </row>
    <row r="582" ht="15.75">
      <c r="A582" s="85"/>
    </row>
    <row r="583" ht="15.75">
      <c r="A583" s="85"/>
    </row>
    <row r="584" ht="15.75">
      <c r="A584" s="85"/>
    </row>
    <row r="585" ht="15.75">
      <c r="A585" s="85"/>
    </row>
    <row r="586" ht="15.75">
      <c r="A586" s="85"/>
    </row>
    <row r="587" ht="15.75">
      <c r="A587" s="85"/>
    </row>
    <row r="588" ht="15.75">
      <c r="A588" s="85"/>
    </row>
    <row r="589" ht="15.75">
      <c r="A589" s="85"/>
    </row>
    <row r="590" ht="15.75">
      <c r="A590" s="85"/>
    </row>
    <row r="591" ht="15.75">
      <c r="A591" s="85"/>
    </row>
    <row r="592" ht="15.75">
      <c r="A592" s="85"/>
    </row>
    <row r="593" ht="15.75">
      <c r="A593" s="85"/>
    </row>
    <row r="594" ht="15.75">
      <c r="A594" s="85"/>
    </row>
    <row r="595" ht="15.75">
      <c r="A595" s="85"/>
    </row>
    <row r="596" ht="15.75">
      <c r="A596" s="85"/>
    </row>
    <row r="597" ht="15.75">
      <c r="A597" s="85"/>
    </row>
    <row r="598" ht="15.75">
      <c r="A598" s="85"/>
    </row>
    <row r="599" ht="15.75">
      <c r="A599" s="85"/>
    </row>
    <row r="600" ht="15.75">
      <c r="A600" s="85"/>
    </row>
    <row r="601" ht="15.75">
      <c r="A601" s="85"/>
    </row>
    <row r="602" ht="15.75">
      <c r="A602" s="85"/>
    </row>
    <row r="603" ht="15.75">
      <c r="A603" s="85"/>
    </row>
    <row r="604" ht="15.75">
      <c r="A604" s="85"/>
    </row>
    <row r="605" ht="15.75">
      <c r="A605" s="85"/>
    </row>
    <row r="606" ht="15.75">
      <c r="A606" s="85"/>
    </row>
    <row r="607" ht="15.75">
      <c r="A607" s="85"/>
    </row>
    <row r="608" ht="15.75">
      <c r="A608" s="85"/>
    </row>
    <row r="609" ht="15.75">
      <c r="A609" s="85"/>
    </row>
    <row r="610" ht="15.75">
      <c r="A610" s="85"/>
    </row>
    <row r="611" ht="15.75">
      <c r="A611" s="85"/>
    </row>
    <row r="612" ht="15.75">
      <c r="A612" s="85"/>
    </row>
  </sheetData>
  <mergeCells count="7">
    <mergeCell ref="A500:E500"/>
    <mergeCell ref="A501:E501"/>
    <mergeCell ref="A502:E502"/>
    <mergeCell ref="A2:E2"/>
    <mergeCell ref="E9:E10"/>
    <mergeCell ref="A386:E386"/>
    <mergeCell ref="E414:E415"/>
  </mergeCells>
  <printOptions horizontalCentered="1"/>
  <pageMargins left="0.15748031496062992" right="0.2" top="0.28" bottom="0.17" header="0.27" footer="0.1574803149606299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P18"/>
  <sheetViews>
    <sheetView zoomScale="150" zoomScaleNormal="150" workbookViewId="0" topLeftCell="G1">
      <selection activeCell="A1" sqref="A1:M16"/>
    </sheetView>
  </sheetViews>
  <sheetFormatPr defaultColWidth="9.140625" defaultRowHeight="12.75"/>
  <cols>
    <col min="1" max="1" width="5.28125" style="0" customWidth="1"/>
    <col min="2" max="2" width="26.140625" style="0" customWidth="1"/>
    <col min="3" max="3" width="13.28125" style="0" hidden="1" customWidth="1"/>
    <col min="4" max="4" width="11.28125" style="0" hidden="1" customWidth="1"/>
    <col min="5" max="5" width="14.7109375" style="0" customWidth="1"/>
    <col min="6" max="6" width="14.8515625" style="0" customWidth="1"/>
    <col min="7" max="7" width="7.8515625" style="0" customWidth="1"/>
    <col min="8" max="8" width="14.28125" style="0" hidden="1" customWidth="1"/>
    <col min="9" max="9" width="5.28125" style="0" hidden="1" customWidth="1"/>
    <col min="10" max="10" width="14.140625" style="0" customWidth="1"/>
    <col min="11" max="11" width="15.140625" style="0" customWidth="1"/>
    <col min="12" max="12" width="7.28125" style="0" customWidth="1"/>
    <col min="13" max="13" width="28.28125" style="0" customWidth="1"/>
    <col min="14" max="14" width="14.8515625" style="0" customWidth="1"/>
    <col min="16" max="16" width="19.28125" style="0" customWidth="1"/>
    <col min="18" max="18" width="12.7109375" style="0" bestFit="1" customWidth="1"/>
    <col min="20" max="20" width="12.00390625" style="0" customWidth="1"/>
  </cols>
  <sheetData>
    <row r="1" spans="3:16" ht="12.75">
      <c r="C1" s="134"/>
      <c r="D1" s="134"/>
      <c r="E1" s="134"/>
      <c r="F1" s="134"/>
      <c r="G1" s="134"/>
      <c r="H1" s="134"/>
      <c r="K1" s="134"/>
      <c r="L1" s="134"/>
      <c r="M1" s="154" t="s">
        <v>662</v>
      </c>
      <c r="N1" s="155"/>
      <c r="O1" s="155"/>
      <c r="P1" s="155"/>
    </row>
    <row r="2" spans="3:16" ht="12.75" customHeight="1">
      <c r="C2" s="134"/>
      <c r="D2" s="134"/>
      <c r="E2" s="134"/>
      <c r="F2" s="134"/>
      <c r="G2" s="134"/>
      <c r="H2" s="134"/>
      <c r="K2" s="134"/>
      <c r="L2" s="134"/>
      <c r="M2" s="155"/>
      <c r="N2" s="155"/>
      <c r="O2" s="155"/>
      <c r="P2" s="155"/>
    </row>
    <row r="3" spans="1:13" ht="20.25">
      <c r="A3" s="117"/>
      <c r="B3" s="156" t="s">
        <v>54</v>
      </c>
      <c r="C3" s="157"/>
      <c r="D3" s="157"/>
      <c r="E3" s="157"/>
      <c r="F3" s="157"/>
      <c r="G3" s="157"/>
      <c r="H3" s="154"/>
      <c r="I3" s="125"/>
      <c r="J3" s="155"/>
      <c r="K3" s="157"/>
      <c r="L3" s="157"/>
      <c r="M3" s="155"/>
    </row>
    <row r="4" spans="1:13" ht="12.75">
      <c r="A4" s="158"/>
      <c r="B4" s="159"/>
      <c r="C4" s="159"/>
      <c r="D4" s="159"/>
      <c r="E4" s="159"/>
      <c r="F4" s="159"/>
      <c r="G4" s="159"/>
      <c r="H4" s="155"/>
      <c r="I4" s="159"/>
      <c r="J4" s="159"/>
      <c r="K4" s="159"/>
      <c r="L4" s="159"/>
      <c r="M4" s="159"/>
    </row>
    <row r="5" spans="1:13" ht="12.75">
      <c r="A5" s="158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</row>
    <row r="6" spans="1:13" ht="82.5" customHeight="1">
      <c r="A6" s="160" t="s">
        <v>73</v>
      </c>
      <c r="B6" s="160" t="s">
        <v>663</v>
      </c>
      <c r="C6" s="161" t="s">
        <v>664</v>
      </c>
      <c r="D6" s="161" t="s">
        <v>665</v>
      </c>
      <c r="E6" s="161" t="s">
        <v>666</v>
      </c>
      <c r="F6" s="161" t="s">
        <v>13</v>
      </c>
      <c r="G6" s="161" t="s">
        <v>90</v>
      </c>
      <c r="H6" s="161" t="s">
        <v>667</v>
      </c>
      <c r="I6" s="161" t="s">
        <v>665</v>
      </c>
      <c r="J6" s="161" t="s">
        <v>668</v>
      </c>
      <c r="K6" s="161" t="s">
        <v>13</v>
      </c>
      <c r="L6" s="161" t="s">
        <v>90</v>
      </c>
      <c r="M6" s="161"/>
    </row>
    <row r="7" spans="1:13" ht="12.75">
      <c r="A7" s="162"/>
      <c r="B7" s="162"/>
      <c r="C7" s="162"/>
      <c r="D7" s="163"/>
      <c r="E7" s="163"/>
      <c r="F7" s="163"/>
      <c r="G7" s="163"/>
      <c r="H7" s="163"/>
      <c r="I7" s="163"/>
      <c r="J7" s="163"/>
      <c r="K7" s="163"/>
      <c r="L7" s="163"/>
      <c r="M7" s="163"/>
    </row>
    <row r="8" spans="1:13" ht="55.5" customHeight="1">
      <c r="A8" s="198">
        <v>952</v>
      </c>
      <c r="B8" s="197" t="s">
        <v>669</v>
      </c>
      <c r="C8" s="164"/>
      <c r="D8" s="164"/>
      <c r="E8" s="176">
        <v>200000</v>
      </c>
      <c r="F8" s="175">
        <v>200000</v>
      </c>
      <c r="G8" s="175">
        <f>F8*100/E8</f>
        <v>100</v>
      </c>
      <c r="H8" s="164"/>
      <c r="I8" s="164"/>
      <c r="J8" s="199"/>
      <c r="K8" s="200"/>
      <c r="L8" s="200"/>
      <c r="M8" s="728" t="s">
        <v>205</v>
      </c>
    </row>
    <row r="9" spans="1:13" s="194" customFormat="1" ht="35.25" customHeight="1">
      <c r="A9" s="198">
        <v>955</v>
      </c>
      <c r="B9" s="197" t="s">
        <v>711</v>
      </c>
      <c r="C9" s="123"/>
      <c r="D9" s="165"/>
      <c r="E9" s="176">
        <v>249154</v>
      </c>
      <c r="F9" s="175">
        <v>249154.42</v>
      </c>
      <c r="G9" s="175">
        <f>F9*100/E9</f>
        <v>100.00016857044238</v>
      </c>
      <c r="H9" s="123"/>
      <c r="I9" s="123"/>
      <c r="J9" s="199"/>
      <c r="K9" s="200"/>
      <c r="L9" s="200"/>
      <c r="M9" s="177" t="s">
        <v>713</v>
      </c>
    </row>
    <row r="10" spans="1:13" s="194" customFormat="1" ht="12.75">
      <c r="A10" s="167"/>
      <c r="B10" s="168"/>
      <c r="C10" s="169"/>
      <c r="D10" s="170"/>
      <c r="E10" s="169"/>
      <c r="F10" s="169"/>
      <c r="G10" s="169"/>
      <c r="H10" s="169"/>
      <c r="I10" s="169"/>
      <c r="J10" s="169"/>
      <c r="K10" s="169"/>
      <c r="L10" s="169"/>
      <c r="M10" s="171"/>
    </row>
    <row r="11" spans="1:13" s="195" customFormat="1" ht="105.75" customHeight="1">
      <c r="A11" s="201">
        <v>992</v>
      </c>
      <c r="B11" s="197" t="s">
        <v>670</v>
      </c>
      <c r="C11" s="8"/>
      <c r="D11" s="172"/>
      <c r="E11" s="173"/>
      <c r="F11" s="173"/>
      <c r="G11" s="173"/>
      <c r="H11" s="8"/>
      <c r="I11" s="8"/>
      <c r="J11" s="174">
        <f>421656-20225</f>
        <v>401431</v>
      </c>
      <c r="K11" s="175">
        <v>401430.68</v>
      </c>
      <c r="L11" s="173">
        <f>K11*100/J11</f>
        <v>99.99992028517977</v>
      </c>
      <c r="M11" s="7" t="s">
        <v>867</v>
      </c>
    </row>
    <row r="12" spans="1:13" s="194" customFormat="1" ht="69.75" customHeight="1">
      <c r="A12" s="124">
        <v>963</v>
      </c>
      <c r="B12" s="57" t="s">
        <v>712</v>
      </c>
      <c r="C12" s="123"/>
      <c r="D12" s="165"/>
      <c r="E12" s="8"/>
      <c r="F12" s="8"/>
      <c r="G12" s="8"/>
      <c r="H12" s="123"/>
      <c r="I12" s="123"/>
      <c r="J12" s="176">
        <v>2225952</v>
      </c>
      <c r="K12" s="166">
        <v>2225952.09</v>
      </c>
      <c r="L12" s="175">
        <f>K12*100/J12</f>
        <v>100.00000404321386</v>
      </c>
      <c r="M12" s="177" t="s">
        <v>714</v>
      </c>
    </row>
    <row r="13" spans="1:13" s="194" customFormat="1" ht="12.75">
      <c r="A13" s="178"/>
      <c r="B13" s="179"/>
      <c r="C13" s="180"/>
      <c r="D13" s="181"/>
      <c r="E13" s="182"/>
      <c r="F13" s="182"/>
      <c r="G13" s="182"/>
      <c r="H13" s="180"/>
      <c r="I13" s="180"/>
      <c r="J13" s="182"/>
      <c r="K13" s="182"/>
      <c r="L13" s="182"/>
      <c r="M13" s="183"/>
    </row>
    <row r="14" spans="1:13" ht="12.75" customHeight="1">
      <c r="A14" s="737"/>
      <c r="B14" s="738"/>
      <c r="C14" s="184"/>
      <c r="D14" s="185"/>
      <c r="E14" s="778">
        <f>SUM(E8:E12)</f>
        <v>449154</v>
      </c>
      <c r="F14" s="778">
        <f>F8+F9</f>
        <v>449154.42000000004</v>
      </c>
      <c r="G14" s="778">
        <f>F14*100/E14</f>
        <v>100.00009350913052</v>
      </c>
      <c r="H14" s="186"/>
      <c r="I14" s="186"/>
      <c r="J14" s="778">
        <f>SUM(J9:J12)</f>
        <v>2627383</v>
      </c>
      <c r="K14" s="778">
        <f>SUM(K9:K12)</f>
        <v>2627382.77</v>
      </c>
      <c r="L14" s="778">
        <f>K14*100/J14</f>
        <v>99.99999124604217</v>
      </c>
      <c r="M14" s="746"/>
    </row>
    <row r="15" spans="1:13" ht="15.75">
      <c r="A15" s="774"/>
      <c r="B15" s="775"/>
      <c r="C15" s="187">
        <f>SUM(C9:C12)</f>
        <v>0</v>
      </c>
      <c r="D15" s="188">
        <f>SUM(D9:D12)</f>
        <v>0</v>
      </c>
      <c r="E15" s="779"/>
      <c r="F15" s="779"/>
      <c r="G15" s="779"/>
      <c r="H15" s="189">
        <f>SUM(H9:H12)</f>
        <v>0</v>
      </c>
      <c r="I15" s="190">
        <f>SUM(I9:I12)</f>
        <v>0</v>
      </c>
      <c r="J15" s="779"/>
      <c r="K15" s="779"/>
      <c r="L15" s="779"/>
      <c r="M15" s="747"/>
    </row>
    <row r="16" spans="1:13" ht="12.75" customHeight="1">
      <c r="A16" s="776"/>
      <c r="B16" s="777"/>
      <c r="C16" s="191"/>
      <c r="D16" s="191"/>
      <c r="E16" s="780"/>
      <c r="F16" s="780"/>
      <c r="G16" s="780"/>
      <c r="H16" s="192"/>
      <c r="I16" s="193"/>
      <c r="J16" s="780"/>
      <c r="K16" s="780"/>
      <c r="L16" s="780"/>
      <c r="M16" s="748"/>
    </row>
    <row r="18" ht="12.75">
      <c r="B18" s="196"/>
    </row>
  </sheetData>
  <mergeCells count="8">
    <mergeCell ref="M14:M16"/>
    <mergeCell ref="A14:B16"/>
    <mergeCell ref="E14:E16"/>
    <mergeCell ref="F14:F16"/>
    <mergeCell ref="G14:G16"/>
    <mergeCell ref="J14:J16"/>
    <mergeCell ref="K14:K16"/>
    <mergeCell ref="L14:L16"/>
  </mergeCells>
  <printOptions horizontalCentered="1"/>
  <pageMargins left="0.15748031496062992" right="0.15748031496062992" top="0.15748031496062992" bottom="0.52" header="0.1574803149606299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J38"/>
  <sheetViews>
    <sheetView zoomScale="150" zoomScaleNormal="150" workbookViewId="0" topLeftCell="A23">
      <selection activeCell="A2" sqref="A2:G38"/>
    </sheetView>
  </sheetViews>
  <sheetFormatPr defaultColWidth="9.140625" defaultRowHeight="12.75"/>
  <cols>
    <col min="1" max="1" width="6.8515625" style="159" customWidth="1"/>
    <col min="2" max="2" width="41.8515625" style="159" customWidth="1"/>
    <col min="3" max="3" width="24.28125" style="159" customWidth="1"/>
    <col min="4" max="4" width="43.00390625" style="159" hidden="1" customWidth="1"/>
    <col min="5" max="5" width="2.57421875" style="159" hidden="1" customWidth="1"/>
    <col min="6" max="6" width="19.8515625" style="159" customWidth="1"/>
    <col min="7" max="7" width="7.140625" style="159" customWidth="1"/>
    <col min="8" max="9" width="11.28125" style="159" customWidth="1"/>
    <col min="10" max="16384" width="9.140625" style="159" customWidth="1"/>
  </cols>
  <sheetData>
    <row r="1" spans="3:10" ht="12" customHeight="1">
      <c r="C1" s="125"/>
      <c r="D1" s="155" t="s">
        <v>716</v>
      </c>
      <c r="E1" s="155" t="s">
        <v>717</v>
      </c>
      <c r="F1" s="155"/>
      <c r="H1" s="787"/>
      <c r="I1" s="787"/>
      <c r="J1" s="787"/>
    </row>
    <row r="2" spans="5:7" ht="12.75">
      <c r="E2" s="202"/>
      <c r="F2" s="788" t="s">
        <v>718</v>
      </c>
      <c r="G2" s="788"/>
    </row>
    <row r="3" spans="1:7" ht="18.75" customHeight="1">
      <c r="A3" s="743" t="s">
        <v>719</v>
      </c>
      <c r="B3" s="743"/>
      <c r="C3" s="743"/>
      <c r="D3" s="743"/>
      <c r="E3" s="743"/>
      <c r="F3" s="743"/>
      <c r="G3" s="743"/>
    </row>
    <row r="4" spans="1:7" ht="18.75" customHeight="1">
      <c r="A4" s="743" t="s">
        <v>720</v>
      </c>
      <c r="B4" s="743"/>
      <c r="C4" s="743"/>
      <c r="D4" s="743"/>
      <c r="E4" s="743"/>
      <c r="F4" s="743"/>
      <c r="G4" s="743"/>
    </row>
    <row r="5" spans="1:7" ht="18.75" customHeight="1">
      <c r="A5" s="743" t="s">
        <v>12</v>
      </c>
      <c r="B5" s="743"/>
      <c r="C5" s="743"/>
      <c r="D5" s="743"/>
      <c r="E5" s="743"/>
      <c r="F5" s="743"/>
      <c r="G5" s="743"/>
    </row>
    <row r="6" spans="1:7" ht="18.75" customHeight="1" thickBot="1">
      <c r="A6" s="114"/>
      <c r="B6" s="114"/>
      <c r="C6" s="114"/>
      <c r="D6" s="114"/>
      <c r="E6" s="114"/>
      <c r="F6" s="114"/>
      <c r="G6" s="114"/>
    </row>
    <row r="7" spans="1:7" s="118" customFormat="1" ht="13.5" customHeight="1">
      <c r="A7" s="785" t="s">
        <v>73</v>
      </c>
      <c r="B7" s="785" t="s">
        <v>74</v>
      </c>
      <c r="C7" s="785" t="s">
        <v>812</v>
      </c>
      <c r="D7" s="785"/>
      <c r="E7" s="203"/>
      <c r="F7" s="785" t="s">
        <v>13</v>
      </c>
      <c r="G7" s="785" t="s">
        <v>90</v>
      </c>
    </row>
    <row r="8" spans="1:9" s="119" customFormat="1" ht="48" customHeight="1" thickBot="1">
      <c r="A8" s="786"/>
      <c r="B8" s="786"/>
      <c r="C8" s="786"/>
      <c r="D8" s="786"/>
      <c r="E8" s="204"/>
      <c r="F8" s="786"/>
      <c r="G8" s="786"/>
      <c r="H8" s="205"/>
      <c r="I8" s="205"/>
    </row>
    <row r="9" spans="1:7" s="208" customFormat="1" ht="12.75">
      <c r="A9" s="206"/>
      <c r="B9" s="206"/>
      <c r="C9" s="206"/>
      <c r="D9" s="206"/>
      <c r="E9" s="206"/>
      <c r="F9" s="207"/>
      <c r="G9" s="207"/>
    </row>
    <row r="10" spans="1:7" s="212" customFormat="1" ht="12.75">
      <c r="A10" s="209"/>
      <c r="B10" s="210" t="s">
        <v>721</v>
      </c>
      <c r="C10" s="211">
        <f>C11+C12+C13</f>
        <v>45000</v>
      </c>
      <c r="D10" s="211"/>
      <c r="E10" s="211"/>
      <c r="F10" s="211">
        <f>F11+F12+F13</f>
        <v>103110.97</v>
      </c>
      <c r="G10" s="120"/>
    </row>
    <row r="11" spans="1:7" s="217" customFormat="1" ht="12.75">
      <c r="A11" s="213"/>
      <c r="B11" s="214" t="s">
        <v>813</v>
      </c>
      <c r="C11" s="215">
        <v>15000</v>
      </c>
      <c r="D11" s="216"/>
      <c r="E11" s="215"/>
      <c r="F11" s="215">
        <v>22731.55</v>
      </c>
      <c r="G11" s="126"/>
    </row>
    <row r="12" spans="1:7" s="125" customFormat="1" ht="27" customHeight="1" thickBot="1">
      <c r="A12" s="121" t="s">
        <v>959</v>
      </c>
      <c r="B12" s="57" t="s">
        <v>97</v>
      </c>
      <c r="C12" s="123">
        <v>30000</v>
      </c>
      <c r="D12" s="123" t="s">
        <v>722</v>
      </c>
      <c r="E12" s="123" t="s">
        <v>722</v>
      </c>
      <c r="F12" s="123">
        <v>80379.42</v>
      </c>
      <c r="G12" s="8">
        <f>F12*100/C12</f>
        <v>267.9314</v>
      </c>
    </row>
    <row r="13" spans="1:7" s="125" customFormat="1" ht="23.25" customHeight="1" hidden="1">
      <c r="A13" s="218" t="s">
        <v>122</v>
      </c>
      <c r="B13" s="57" t="s">
        <v>123</v>
      </c>
      <c r="C13" s="219"/>
      <c r="D13" s="219" t="s">
        <v>723</v>
      </c>
      <c r="E13" s="219"/>
      <c r="F13" s="219"/>
      <c r="G13" s="8" t="e">
        <f>F13*100/C13</f>
        <v>#DIV/0!</v>
      </c>
    </row>
    <row r="14" spans="1:7" s="208" customFormat="1" ht="12.75">
      <c r="A14" s="206"/>
      <c r="B14" s="206"/>
      <c r="C14" s="206"/>
      <c r="D14" s="206"/>
      <c r="E14" s="206"/>
      <c r="F14" s="207"/>
      <c r="G14" s="207"/>
    </row>
    <row r="15" spans="1:7" s="212" customFormat="1" ht="12.75">
      <c r="A15" s="209"/>
      <c r="B15" s="210" t="s">
        <v>724</v>
      </c>
      <c r="C15" s="211">
        <f>SUM(C16:C17)</f>
        <v>45000</v>
      </c>
      <c r="D15" s="211"/>
      <c r="E15" s="211"/>
      <c r="F15" s="211">
        <f>SUM(F16:F17)</f>
        <v>41294.17</v>
      </c>
      <c r="G15" s="120"/>
    </row>
    <row r="16" spans="1:8" s="130" customFormat="1" ht="21" customHeight="1">
      <c r="A16" s="121">
        <v>4210</v>
      </c>
      <c r="B16" s="57" t="s">
        <v>1201</v>
      </c>
      <c r="C16" s="131">
        <v>17000</v>
      </c>
      <c r="D16" s="783" t="s">
        <v>725</v>
      </c>
      <c r="E16" s="783" t="s">
        <v>806</v>
      </c>
      <c r="F16" s="123">
        <v>15391.04</v>
      </c>
      <c r="G16" s="8">
        <f>F16*100/C16</f>
        <v>90.5355294117647</v>
      </c>
      <c r="H16" s="139"/>
    </row>
    <row r="17" spans="1:8" s="130" customFormat="1" ht="29.25" customHeight="1" thickBot="1">
      <c r="A17" s="121">
        <v>4300</v>
      </c>
      <c r="B17" s="57" t="s">
        <v>1203</v>
      </c>
      <c r="C17" s="131">
        <v>28000</v>
      </c>
      <c r="D17" s="784"/>
      <c r="E17" s="784"/>
      <c r="F17" s="123">
        <v>25903.13</v>
      </c>
      <c r="G17" s="8">
        <f>F17*100/C17</f>
        <v>92.51117857142857</v>
      </c>
      <c r="H17" s="139"/>
    </row>
    <row r="18" spans="1:7" s="208" customFormat="1" ht="12.75">
      <c r="A18" s="206"/>
      <c r="B18" s="206"/>
      <c r="C18" s="206"/>
      <c r="D18" s="206"/>
      <c r="E18" s="206"/>
      <c r="F18" s="207"/>
      <c r="G18" s="207"/>
    </row>
    <row r="22" spans="1:7" ht="15.75">
      <c r="A22" s="781" t="s">
        <v>721</v>
      </c>
      <c r="B22" s="781"/>
      <c r="C22" s="782">
        <f>SUM(C24:C25)</f>
        <v>80379.42</v>
      </c>
      <c r="D22" s="782"/>
      <c r="F22" s="782"/>
      <c r="G22" s="782"/>
    </row>
    <row r="23" spans="1:6" ht="15.75">
      <c r="A23" s="85"/>
      <c r="C23" s="100"/>
      <c r="F23" s="100"/>
    </row>
    <row r="24" spans="1:7" ht="36" customHeight="1">
      <c r="A24" s="766" t="s">
        <v>807</v>
      </c>
      <c r="B24" s="766"/>
      <c r="C24" s="745">
        <v>27522.76</v>
      </c>
      <c r="D24" s="745"/>
      <c r="F24" s="745"/>
      <c r="G24" s="745"/>
    </row>
    <row r="25" spans="1:7" ht="19.5" customHeight="1">
      <c r="A25" s="766" t="s">
        <v>808</v>
      </c>
      <c r="B25" s="766"/>
      <c r="C25" s="745">
        <v>52856.66</v>
      </c>
      <c r="D25" s="745"/>
      <c r="F25" s="745"/>
      <c r="G25" s="745"/>
    </row>
    <row r="26" spans="1:6" ht="15.75">
      <c r="A26" s="85"/>
      <c r="C26" s="100"/>
      <c r="F26" s="100"/>
    </row>
    <row r="27" spans="1:7" ht="15.75">
      <c r="A27" s="781" t="s">
        <v>724</v>
      </c>
      <c r="B27" s="781"/>
      <c r="C27" s="782">
        <f>SUM(C30:C38)</f>
        <v>41294.17</v>
      </c>
      <c r="D27" s="782"/>
      <c r="F27" s="782"/>
      <c r="G27" s="782"/>
    </row>
    <row r="28" spans="1:6" ht="15.75">
      <c r="A28" s="85"/>
      <c r="C28" s="100"/>
      <c r="F28" s="100"/>
    </row>
    <row r="29" spans="1:6" ht="15.75">
      <c r="A29" s="766" t="s">
        <v>809</v>
      </c>
      <c r="B29" s="766"/>
      <c r="C29" s="100"/>
      <c r="F29" s="100"/>
    </row>
    <row r="30" spans="1:7" ht="15.75">
      <c r="A30" s="766" t="s">
        <v>810</v>
      </c>
      <c r="B30" s="766"/>
      <c r="C30" s="745">
        <f>15+493.59+254.46+400+437.5+370.5+1114+219.6+700+103.8</f>
        <v>4108.45</v>
      </c>
      <c r="D30" s="745"/>
      <c r="F30" s="745"/>
      <c r="G30" s="745"/>
    </row>
    <row r="31" spans="1:7" ht="15.75">
      <c r="A31" s="766" t="s">
        <v>207</v>
      </c>
      <c r="B31" s="766"/>
      <c r="C31" s="98">
        <f>1092+470</f>
        <v>1562</v>
      </c>
      <c r="D31" s="98"/>
      <c r="F31" s="98"/>
      <c r="G31" s="98"/>
    </row>
    <row r="32" spans="1:7" ht="33.75" customHeight="1">
      <c r="A32" s="766" t="s">
        <v>307</v>
      </c>
      <c r="B32" s="766"/>
      <c r="C32" s="745">
        <v>2501</v>
      </c>
      <c r="D32" s="745"/>
      <c r="F32" s="745"/>
      <c r="G32" s="745"/>
    </row>
    <row r="33" spans="1:7" ht="15.75">
      <c r="A33" s="766" t="s">
        <v>208</v>
      </c>
      <c r="B33" s="766"/>
      <c r="C33" s="98">
        <v>570.96</v>
      </c>
      <c r="D33" s="98"/>
      <c r="F33" s="98"/>
      <c r="G33" s="98"/>
    </row>
    <row r="34" spans="1:7" ht="15.75">
      <c r="A34" s="766" t="s">
        <v>615</v>
      </c>
      <c r="B34" s="766"/>
      <c r="C34" s="98">
        <v>1464</v>
      </c>
      <c r="D34" s="98"/>
      <c r="F34" s="98"/>
      <c r="G34" s="98"/>
    </row>
    <row r="35" spans="1:7" ht="15.75">
      <c r="A35" s="766" t="s">
        <v>209</v>
      </c>
      <c r="B35" s="766"/>
      <c r="C35" s="98">
        <v>505.34</v>
      </c>
      <c r="D35" s="98"/>
      <c r="F35" s="98"/>
      <c r="G35" s="98"/>
    </row>
    <row r="36" spans="1:7" ht="35.25" customHeight="1">
      <c r="A36" s="766" t="s">
        <v>206</v>
      </c>
      <c r="B36" s="766"/>
      <c r="C36" s="98">
        <f>200.12+348.8+206.6+324.64+53.07+158.64+326.56+39.01+1000.4+549.72+288+31.01+114.71+99.5+77.04</f>
        <v>3817.8199999999997</v>
      </c>
      <c r="D36" s="98"/>
      <c r="F36" s="98"/>
      <c r="G36" s="98"/>
    </row>
    <row r="37" spans="1:7" ht="35.25" customHeight="1">
      <c r="A37" s="766" t="s">
        <v>210</v>
      </c>
      <c r="B37" s="766"/>
      <c r="C37" s="98">
        <v>26718</v>
      </c>
      <c r="D37" s="98"/>
      <c r="F37" s="98"/>
      <c r="G37" s="98"/>
    </row>
    <row r="38" spans="1:7" ht="15.75">
      <c r="A38" s="766" t="s">
        <v>811</v>
      </c>
      <c r="B38" s="766"/>
      <c r="C38" s="745">
        <f>14.7+14.7+2.7+0.5+0.5+0.5+1.5+0.5+1.5+1.5+2.5+0.5+0.5+0.5+1.5+1+1.5</f>
        <v>46.6</v>
      </c>
      <c r="D38" s="745"/>
      <c r="F38" s="745"/>
      <c r="G38" s="745"/>
    </row>
  </sheetData>
  <mergeCells count="41">
    <mergeCell ref="A31:B31"/>
    <mergeCell ref="A33:B33"/>
    <mergeCell ref="A35:B35"/>
    <mergeCell ref="A37:B37"/>
    <mergeCell ref="A32:B32"/>
    <mergeCell ref="H1:J1"/>
    <mergeCell ref="F2:G2"/>
    <mergeCell ref="A3:G3"/>
    <mergeCell ref="A4:G4"/>
    <mergeCell ref="A5:G5"/>
    <mergeCell ref="A7:A8"/>
    <mergeCell ref="B7:B8"/>
    <mergeCell ref="C7:C8"/>
    <mergeCell ref="D7:D8"/>
    <mergeCell ref="F7:F8"/>
    <mergeCell ref="G7:G8"/>
    <mergeCell ref="D16:D17"/>
    <mergeCell ref="E16:E17"/>
    <mergeCell ref="A22:B22"/>
    <mergeCell ref="C22:D22"/>
    <mergeCell ref="F22:G22"/>
    <mergeCell ref="A24:B24"/>
    <mergeCell ref="C24:D24"/>
    <mergeCell ref="F24:G24"/>
    <mergeCell ref="A25:B25"/>
    <mergeCell ref="C25:D25"/>
    <mergeCell ref="F25:G25"/>
    <mergeCell ref="A27:B27"/>
    <mergeCell ref="C27:D27"/>
    <mergeCell ref="F27:G27"/>
    <mergeCell ref="A29:B29"/>
    <mergeCell ref="A30:B30"/>
    <mergeCell ref="C30:D30"/>
    <mergeCell ref="F30:G30"/>
    <mergeCell ref="C32:D32"/>
    <mergeCell ref="F32:G32"/>
    <mergeCell ref="A34:B34"/>
    <mergeCell ref="F38:G38"/>
    <mergeCell ref="A36:B36"/>
    <mergeCell ref="A38:B38"/>
    <mergeCell ref="C38:D38"/>
  </mergeCells>
  <printOptions horizontalCentered="1"/>
  <pageMargins left="0.15748031496062992" right="0.15748031496062992" top="0.15748031496062992" bottom="0.1968503937007874" header="0.15748031496062992" footer="0.1574803149606299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8"/>
  </sheetPr>
  <dimension ref="B1:K115"/>
  <sheetViews>
    <sheetView zoomScale="150" zoomScaleNormal="150" workbookViewId="0" topLeftCell="A79">
      <selection activeCell="I66" sqref="I66"/>
    </sheetView>
  </sheetViews>
  <sheetFormatPr defaultColWidth="9.140625" defaultRowHeight="12.75"/>
  <cols>
    <col min="1" max="1" width="2.28125" style="24" customWidth="1"/>
    <col min="2" max="2" width="4.57421875" style="24" customWidth="1"/>
    <col min="3" max="3" width="6.7109375" style="24" customWidth="1"/>
    <col min="4" max="4" width="4.8515625" style="24" customWidth="1"/>
    <col min="5" max="5" width="18.421875" style="24" customWidth="1"/>
    <col min="6" max="6" width="18.421875" style="24" hidden="1" customWidth="1"/>
    <col min="7" max="7" width="13.140625" style="89" hidden="1" customWidth="1"/>
    <col min="8" max="8" width="13.00390625" style="24" customWidth="1"/>
    <col min="9" max="9" width="11.140625" style="24" customWidth="1"/>
    <col min="10" max="10" width="6.140625" style="24" customWidth="1"/>
    <col min="11" max="11" width="37.28125" style="241" customWidth="1"/>
    <col min="12" max="16384" width="9.140625" style="24" customWidth="1"/>
  </cols>
  <sheetData>
    <row r="1" spans="2:11" ht="24.75" customHeight="1">
      <c r="B1" s="25" t="s">
        <v>616</v>
      </c>
      <c r="C1" s="26"/>
      <c r="D1" s="27"/>
      <c r="F1" s="28"/>
      <c r="G1" s="29"/>
      <c r="H1" s="28"/>
      <c r="I1" s="28"/>
      <c r="J1" s="28"/>
      <c r="K1" s="792" t="s">
        <v>684</v>
      </c>
    </row>
    <row r="2" spans="2:11" ht="6" customHeight="1">
      <c r="B2" s="25"/>
      <c r="C2" s="26"/>
      <c r="D2" s="27"/>
      <c r="F2" s="28"/>
      <c r="G2" s="29"/>
      <c r="H2" s="28"/>
      <c r="I2" s="28"/>
      <c r="J2" s="28"/>
      <c r="K2" s="793"/>
    </row>
    <row r="3" spans="2:11" s="669" customFormat="1" ht="31.5" customHeight="1">
      <c r="B3" s="794" t="s">
        <v>71</v>
      </c>
      <c r="C3" s="794" t="s">
        <v>1190</v>
      </c>
      <c r="D3" s="794" t="s">
        <v>73</v>
      </c>
      <c r="E3" s="794" t="s">
        <v>74</v>
      </c>
      <c r="F3" s="794" t="s">
        <v>784</v>
      </c>
      <c r="G3" s="795" t="s">
        <v>76</v>
      </c>
      <c r="H3" s="794" t="s">
        <v>617</v>
      </c>
      <c r="I3" s="790" t="s">
        <v>540</v>
      </c>
      <c r="J3" s="791" t="s">
        <v>90</v>
      </c>
      <c r="K3" s="796" t="s">
        <v>951</v>
      </c>
    </row>
    <row r="4" spans="2:11" s="670" customFormat="1" ht="25.5" customHeight="1">
      <c r="B4" s="794"/>
      <c r="C4" s="794"/>
      <c r="D4" s="794"/>
      <c r="E4" s="794"/>
      <c r="F4" s="794"/>
      <c r="G4" s="795"/>
      <c r="H4" s="794"/>
      <c r="I4" s="790"/>
      <c r="J4" s="791"/>
      <c r="K4" s="796"/>
    </row>
    <row r="5" spans="2:11" ht="12.75">
      <c r="B5" s="146"/>
      <c r="C5" s="146"/>
      <c r="D5" s="146"/>
      <c r="E5" s="146"/>
      <c r="F5" s="146"/>
      <c r="G5" s="654"/>
      <c r="H5" s="146"/>
      <c r="I5" s="146"/>
      <c r="J5" s="146"/>
      <c r="K5" s="220"/>
    </row>
    <row r="6" spans="2:11" ht="51" customHeight="1" hidden="1">
      <c r="B6" s="146"/>
      <c r="C6" s="146"/>
      <c r="D6" s="146"/>
      <c r="E6" s="146"/>
      <c r="F6" s="147" t="s">
        <v>1198</v>
      </c>
      <c r="G6" s="655"/>
      <c r="H6" s="147"/>
      <c r="I6" s="147"/>
      <c r="J6" s="147"/>
      <c r="K6" s="220"/>
    </row>
    <row r="7" spans="2:11" ht="12.75">
      <c r="B7" s="148" t="s">
        <v>92</v>
      </c>
      <c r="C7" s="36"/>
      <c r="D7" s="36"/>
      <c r="E7" s="37" t="s">
        <v>93</v>
      </c>
      <c r="F7" s="38">
        <f>F8</f>
        <v>1790271</v>
      </c>
      <c r="G7" s="39">
        <f>G8</f>
        <v>0</v>
      </c>
      <c r="H7" s="38">
        <f>H8</f>
        <v>1790271</v>
      </c>
      <c r="I7" s="38">
        <f>I8</f>
        <v>829319.64</v>
      </c>
      <c r="J7" s="58">
        <f>I7*100/H7</f>
        <v>46.32369289342228</v>
      </c>
      <c r="K7" s="221"/>
    </row>
    <row r="8" spans="2:11" s="34" customFormat="1" ht="38.25">
      <c r="B8" s="42"/>
      <c r="C8" s="41" t="s">
        <v>94</v>
      </c>
      <c r="D8" s="42"/>
      <c r="E8" s="43" t="s">
        <v>95</v>
      </c>
      <c r="F8" s="44">
        <f>SUM(F9:F9)</f>
        <v>1790271</v>
      </c>
      <c r="G8" s="45">
        <f>SUM(G9:G9)</f>
        <v>0</v>
      </c>
      <c r="H8" s="44">
        <f>SUM(H9:H9)</f>
        <v>1790271</v>
      </c>
      <c r="I8" s="44">
        <f>SUM(I9:I9)</f>
        <v>829319.64</v>
      </c>
      <c r="J8" s="44">
        <f>I8*100/H8</f>
        <v>46.32369289342228</v>
      </c>
      <c r="K8" s="222"/>
    </row>
    <row r="9" spans="2:11" s="34" customFormat="1" ht="38.25">
      <c r="B9" s="48"/>
      <c r="C9" s="223"/>
      <c r="D9" s="49">
        <v>6050</v>
      </c>
      <c r="E9" s="49" t="s">
        <v>1204</v>
      </c>
      <c r="F9" s="224">
        <f>SUM(F10:F27)</f>
        <v>1790271</v>
      </c>
      <c r="G9" s="656">
        <f>SUM(G10:G27)</f>
        <v>0</v>
      </c>
      <c r="H9" s="224">
        <f>SUM(H10:H27)</f>
        <v>1790271</v>
      </c>
      <c r="I9" s="224">
        <f>SUM(I10:I27)</f>
        <v>829319.64</v>
      </c>
      <c r="J9" s="224">
        <f aca="true" t="shared" si="0" ref="J9:J27">I9*100/H9</f>
        <v>46.32369289342228</v>
      </c>
      <c r="K9" s="222"/>
    </row>
    <row r="10" spans="2:11" s="34" customFormat="1" ht="24">
      <c r="B10" s="48"/>
      <c r="C10" s="223"/>
      <c r="D10" s="49"/>
      <c r="E10" s="49"/>
      <c r="F10" s="53">
        <v>31500</v>
      </c>
      <c r="G10" s="55">
        <v>5</v>
      </c>
      <c r="H10" s="53">
        <f aca="true" t="shared" si="1" ref="H10:H27">F10+G10</f>
        <v>31505</v>
      </c>
      <c r="I10" s="53">
        <v>31504.11</v>
      </c>
      <c r="J10" s="224">
        <f t="shared" si="0"/>
        <v>99.99717505157912</v>
      </c>
      <c r="K10" s="225" t="s">
        <v>618</v>
      </c>
    </row>
    <row r="11" spans="2:11" s="34" customFormat="1" ht="12.75">
      <c r="B11" s="48"/>
      <c r="C11" s="223"/>
      <c r="D11" s="49"/>
      <c r="E11" s="49"/>
      <c r="F11" s="53">
        <v>10000</v>
      </c>
      <c r="G11" s="359"/>
      <c r="H11" s="53">
        <f t="shared" si="1"/>
        <v>10000</v>
      </c>
      <c r="I11" s="53">
        <v>10000</v>
      </c>
      <c r="J11" s="224">
        <f t="shared" si="0"/>
        <v>100</v>
      </c>
      <c r="K11" s="225" t="s">
        <v>783</v>
      </c>
    </row>
    <row r="12" spans="2:11" s="34" customFormat="1" ht="12.75">
      <c r="B12" s="48"/>
      <c r="C12" s="223"/>
      <c r="D12" s="49"/>
      <c r="E12" s="49"/>
      <c r="F12" s="53">
        <v>0</v>
      </c>
      <c r="G12" s="55">
        <v>5682</v>
      </c>
      <c r="H12" s="53">
        <f t="shared" si="1"/>
        <v>5682</v>
      </c>
      <c r="I12" s="53">
        <v>5682</v>
      </c>
      <c r="J12" s="224">
        <f t="shared" si="0"/>
        <v>100</v>
      </c>
      <c r="K12" s="225" t="s">
        <v>619</v>
      </c>
    </row>
    <row r="13" spans="2:11" s="34" customFormat="1" ht="24">
      <c r="B13" s="48"/>
      <c r="C13" s="223"/>
      <c r="D13" s="49"/>
      <c r="E13" s="49"/>
      <c r="F13" s="53">
        <v>35666</v>
      </c>
      <c r="G13" s="55"/>
      <c r="H13" s="53">
        <f t="shared" si="1"/>
        <v>35666</v>
      </c>
      <c r="I13" s="53">
        <v>35666</v>
      </c>
      <c r="J13" s="224">
        <f t="shared" si="0"/>
        <v>100</v>
      </c>
      <c r="K13" s="225" t="s">
        <v>620</v>
      </c>
    </row>
    <row r="14" spans="2:11" s="34" customFormat="1" ht="24">
      <c r="B14" s="48"/>
      <c r="C14" s="223"/>
      <c r="D14" s="49"/>
      <c r="E14" s="49"/>
      <c r="F14" s="53">
        <v>17542</v>
      </c>
      <c r="G14" s="55"/>
      <c r="H14" s="53">
        <f t="shared" si="1"/>
        <v>17542</v>
      </c>
      <c r="I14" s="53">
        <v>17541.55</v>
      </c>
      <c r="J14" s="224">
        <f t="shared" si="0"/>
        <v>99.99743472808117</v>
      </c>
      <c r="K14" s="225" t="s">
        <v>621</v>
      </c>
    </row>
    <row r="15" spans="2:11" s="34" customFormat="1" ht="24">
      <c r="B15" s="48"/>
      <c r="C15" s="223"/>
      <c r="D15" s="49"/>
      <c r="E15" s="49"/>
      <c r="F15" s="53">
        <v>40000</v>
      </c>
      <c r="G15" s="55">
        <v>300</v>
      </c>
      <c r="H15" s="53">
        <f t="shared" si="1"/>
        <v>40300</v>
      </c>
      <c r="I15" s="53">
        <v>40300</v>
      </c>
      <c r="J15" s="224">
        <f t="shared" si="0"/>
        <v>100</v>
      </c>
      <c r="K15" s="225" t="s">
        <v>622</v>
      </c>
    </row>
    <row r="16" spans="2:11" s="34" customFormat="1" ht="24">
      <c r="B16" s="48"/>
      <c r="C16" s="223"/>
      <c r="D16" s="49"/>
      <c r="E16" s="49"/>
      <c r="F16" s="53">
        <v>31707</v>
      </c>
      <c r="G16" s="55"/>
      <c r="H16" s="53">
        <f t="shared" si="1"/>
        <v>31707</v>
      </c>
      <c r="I16" s="53">
        <v>31706.25</v>
      </c>
      <c r="J16" s="224">
        <f t="shared" si="0"/>
        <v>99.99763459173053</v>
      </c>
      <c r="K16" s="225" t="s">
        <v>785</v>
      </c>
    </row>
    <row r="17" spans="2:11" s="34" customFormat="1" ht="12.75">
      <c r="B17" s="48"/>
      <c r="C17" s="223"/>
      <c r="D17" s="49"/>
      <c r="E17" s="49"/>
      <c r="F17" s="53">
        <v>4427</v>
      </c>
      <c r="G17" s="55"/>
      <c r="H17" s="53">
        <f t="shared" si="1"/>
        <v>4427</v>
      </c>
      <c r="I17" s="53">
        <v>4426.55</v>
      </c>
      <c r="J17" s="224">
        <f t="shared" si="0"/>
        <v>99.9898351027784</v>
      </c>
      <c r="K17" s="225" t="s">
        <v>623</v>
      </c>
    </row>
    <row r="18" spans="2:11" s="34" customFormat="1" ht="24">
      <c r="B18" s="48"/>
      <c r="C18" s="223"/>
      <c r="D18" s="49"/>
      <c r="E18" s="49"/>
      <c r="F18" s="53">
        <v>7700</v>
      </c>
      <c r="G18" s="55">
        <v>1</v>
      </c>
      <c r="H18" s="53">
        <f t="shared" si="1"/>
        <v>7701</v>
      </c>
      <c r="I18" s="53">
        <v>7700.55</v>
      </c>
      <c r="J18" s="224">
        <f t="shared" si="0"/>
        <v>99.99415660303856</v>
      </c>
      <c r="K18" s="225" t="s">
        <v>624</v>
      </c>
    </row>
    <row r="19" spans="2:11" s="34" customFormat="1" ht="12.75">
      <c r="B19" s="48"/>
      <c r="C19" s="223"/>
      <c r="D19" s="49"/>
      <c r="E19" s="49"/>
      <c r="F19" s="53">
        <v>80000</v>
      </c>
      <c r="G19" s="55"/>
      <c r="H19" s="53">
        <f t="shared" si="1"/>
        <v>80000</v>
      </c>
      <c r="I19" s="53">
        <v>61000</v>
      </c>
      <c r="J19" s="224">
        <f t="shared" si="0"/>
        <v>76.25</v>
      </c>
      <c r="K19" s="225" t="s">
        <v>625</v>
      </c>
    </row>
    <row r="20" spans="2:11" s="34" customFormat="1" ht="12.75">
      <c r="B20" s="48"/>
      <c r="C20" s="223"/>
      <c r="D20" s="49"/>
      <c r="E20" s="49"/>
      <c r="F20" s="53">
        <v>9154</v>
      </c>
      <c r="G20" s="55">
        <v>2886</v>
      </c>
      <c r="H20" s="53">
        <f t="shared" si="1"/>
        <v>12040</v>
      </c>
      <c r="I20" s="53">
        <v>12040</v>
      </c>
      <c r="J20" s="224">
        <f t="shared" si="0"/>
        <v>100</v>
      </c>
      <c r="K20" s="225" t="s">
        <v>626</v>
      </c>
    </row>
    <row r="21" spans="2:11" s="34" customFormat="1" ht="24">
      <c r="B21" s="48"/>
      <c r="C21" s="223"/>
      <c r="D21" s="49"/>
      <c r="E21" s="49"/>
      <c r="F21" s="53">
        <v>13000</v>
      </c>
      <c r="G21" s="359">
        <v>-3400</v>
      </c>
      <c r="H21" s="53">
        <f t="shared" si="1"/>
        <v>9600</v>
      </c>
      <c r="I21" s="53">
        <v>9600</v>
      </c>
      <c r="J21" s="224">
        <f t="shared" si="0"/>
        <v>100</v>
      </c>
      <c r="K21" s="225" t="s">
        <v>627</v>
      </c>
    </row>
    <row r="22" spans="2:11" s="34" customFormat="1" ht="24">
      <c r="B22" s="48"/>
      <c r="C22" s="223"/>
      <c r="D22" s="49"/>
      <c r="E22" s="49"/>
      <c r="F22" s="53">
        <v>60000</v>
      </c>
      <c r="G22" s="55"/>
      <c r="H22" s="53">
        <f t="shared" si="1"/>
        <v>60000</v>
      </c>
      <c r="I22" s="53">
        <v>59980.8</v>
      </c>
      <c r="J22" s="224">
        <f t="shared" si="0"/>
        <v>99.968</v>
      </c>
      <c r="K22" s="225" t="s">
        <v>786</v>
      </c>
    </row>
    <row r="23" spans="2:11" s="34" customFormat="1" ht="24">
      <c r="B23" s="48"/>
      <c r="C23" s="223"/>
      <c r="D23" s="49"/>
      <c r="E23" s="49"/>
      <c r="F23" s="53">
        <v>28000</v>
      </c>
      <c r="G23" s="55"/>
      <c r="H23" s="53">
        <f t="shared" si="1"/>
        <v>28000</v>
      </c>
      <c r="I23" s="53">
        <v>28000</v>
      </c>
      <c r="J23" s="224">
        <f t="shared" si="0"/>
        <v>100</v>
      </c>
      <c r="K23" s="225" t="s">
        <v>787</v>
      </c>
    </row>
    <row r="24" spans="2:11" s="34" customFormat="1" ht="12.75">
      <c r="B24" s="48"/>
      <c r="C24" s="223"/>
      <c r="D24" s="49"/>
      <c r="E24" s="49"/>
      <c r="F24" s="53">
        <v>313075</v>
      </c>
      <c r="G24" s="359">
        <v>-5474</v>
      </c>
      <c r="H24" s="53">
        <f t="shared" si="1"/>
        <v>307601</v>
      </c>
      <c r="I24" s="53">
        <v>303612.31</v>
      </c>
      <c r="J24" s="224">
        <f t="shared" si="0"/>
        <v>98.70329095158988</v>
      </c>
      <c r="K24" s="225" t="s">
        <v>628</v>
      </c>
    </row>
    <row r="25" spans="2:11" s="34" customFormat="1" ht="24">
      <c r="B25" s="48"/>
      <c r="C25" s="223"/>
      <c r="D25" s="49"/>
      <c r="E25" s="49"/>
      <c r="F25" s="53">
        <v>1060000</v>
      </c>
      <c r="G25" s="55"/>
      <c r="H25" s="53">
        <f t="shared" si="1"/>
        <v>1060000</v>
      </c>
      <c r="I25" s="53">
        <v>122059.52</v>
      </c>
      <c r="J25" s="224">
        <f t="shared" si="0"/>
        <v>11.515049056603774</v>
      </c>
      <c r="K25" s="225" t="s">
        <v>629</v>
      </c>
    </row>
    <row r="26" spans="2:11" s="34" customFormat="1" ht="24">
      <c r="B26" s="48"/>
      <c r="C26" s="223"/>
      <c r="D26" s="49"/>
      <c r="E26" s="49"/>
      <c r="F26" s="53">
        <v>36000</v>
      </c>
      <c r="G26" s="55"/>
      <c r="H26" s="53">
        <f t="shared" si="1"/>
        <v>36000</v>
      </c>
      <c r="I26" s="53">
        <v>36000</v>
      </c>
      <c r="J26" s="224">
        <f t="shared" si="0"/>
        <v>100</v>
      </c>
      <c r="K26" s="225" t="s">
        <v>630</v>
      </c>
    </row>
    <row r="27" spans="2:11" s="34" customFormat="1" ht="24">
      <c r="B27" s="48"/>
      <c r="C27" s="223"/>
      <c r="D27" s="49"/>
      <c r="E27" s="49"/>
      <c r="F27" s="53">
        <v>12500</v>
      </c>
      <c r="G27" s="55"/>
      <c r="H27" s="53">
        <f t="shared" si="1"/>
        <v>12500</v>
      </c>
      <c r="I27" s="53">
        <v>12500</v>
      </c>
      <c r="J27" s="224">
        <f t="shared" si="0"/>
        <v>100</v>
      </c>
      <c r="K27" s="225" t="s">
        <v>631</v>
      </c>
    </row>
    <row r="28" spans="2:11" s="34" customFormat="1" ht="12.75">
      <c r="B28" s="61">
        <v>600</v>
      </c>
      <c r="C28" s="61"/>
      <c r="D28" s="61"/>
      <c r="E28" s="62" t="s">
        <v>107</v>
      </c>
      <c r="F28" s="58">
        <f>F31+F29</f>
        <v>1180354</v>
      </c>
      <c r="G28" s="59">
        <f>G31+G29</f>
        <v>0</v>
      </c>
      <c r="H28" s="58">
        <f>H31+H29</f>
        <v>1180354</v>
      </c>
      <c r="I28" s="58">
        <f>I31+I29</f>
        <v>1172891.83</v>
      </c>
      <c r="J28" s="58">
        <f aca="true" t="shared" si="2" ref="J28:J38">I28*100/H28</f>
        <v>99.36780237115306</v>
      </c>
      <c r="K28" s="226"/>
    </row>
    <row r="29" spans="2:11" s="63" customFormat="1" ht="25.5">
      <c r="B29" s="74"/>
      <c r="C29" s="42">
        <v>60014</v>
      </c>
      <c r="D29" s="42"/>
      <c r="E29" s="43" t="s">
        <v>108</v>
      </c>
      <c r="F29" s="64">
        <f>F30</f>
        <v>149354</v>
      </c>
      <c r="G29" s="65">
        <f>G30</f>
        <v>0</v>
      </c>
      <c r="H29" s="64">
        <f>H30</f>
        <v>149354</v>
      </c>
      <c r="I29" s="64">
        <f>I30</f>
        <v>149354</v>
      </c>
      <c r="J29" s="44">
        <f t="shared" si="2"/>
        <v>100</v>
      </c>
      <c r="K29" s="227"/>
    </row>
    <row r="30" spans="2:11" s="63" customFormat="1" ht="127.5">
      <c r="B30" s="74"/>
      <c r="C30" s="42"/>
      <c r="D30" s="48">
        <v>6300</v>
      </c>
      <c r="E30" s="49" t="s">
        <v>391</v>
      </c>
      <c r="F30" s="66">
        <v>149354</v>
      </c>
      <c r="G30" s="657"/>
      <c r="H30" s="53">
        <f>F30+G30</f>
        <v>149354</v>
      </c>
      <c r="I30" s="53">
        <f>G30+H30</f>
        <v>149354</v>
      </c>
      <c r="J30" s="224">
        <f t="shared" si="2"/>
        <v>100</v>
      </c>
      <c r="K30" s="228" t="s">
        <v>632</v>
      </c>
    </row>
    <row r="31" spans="2:11" s="34" customFormat="1" ht="25.5">
      <c r="B31" s="42"/>
      <c r="C31" s="42">
        <v>60016</v>
      </c>
      <c r="D31" s="42"/>
      <c r="E31" s="43" t="s">
        <v>110</v>
      </c>
      <c r="F31" s="44">
        <f>SUM(F32:F32)</f>
        <v>1031000</v>
      </c>
      <c r="G31" s="45">
        <f>SUM(G32:G32)</f>
        <v>0</v>
      </c>
      <c r="H31" s="44">
        <f>SUM(H32:H32)</f>
        <v>1031000</v>
      </c>
      <c r="I31" s="44">
        <f>SUM(I32:I32)</f>
        <v>1023537.83</v>
      </c>
      <c r="J31" s="44">
        <f t="shared" si="2"/>
        <v>99.27622017458778</v>
      </c>
      <c r="K31" s="789"/>
    </row>
    <row r="32" spans="2:11" s="34" customFormat="1" ht="38.25">
      <c r="B32" s="48"/>
      <c r="C32" s="47"/>
      <c r="D32" s="48">
        <v>6050</v>
      </c>
      <c r="E32" s="49" t="s">
        <v>1204</v>
      </c>
      <c r="F32" s="224">
        <f>SUM(F33:F36)</f>
        <v>1031000</v>
      </c>
      <c r="G32" s="656">
        <f>SUM(G33:G36)</f>
        <v>0</v>
      </c>
      <c r="H32" s="224">
        <f>SUM(H33:H36)</f>
        <v>1031000</v>
      </c>
      <c r="I32" s="224">
        <f>SUM(I33:I36)</f>
        <v>1023537.83</v>
      </c>
      <c r="J32" s="224">
        <f t="shared" si="2"/>
        <v>99.27622017458778</v>
      </c>
      <c r="K32" s="789"/>
    </row>
    <row r="33" spans="2:11" s="34" customFormat="1" ht="24">
      <c r="B33" s="48"/>
      <c r="C33" s="47"/>
      <c r="D33" s="48"/>
      <c r="E33" s="49"/>
      <c r="F33" s="53">
        <v>825000</v>
      </c>
      <c r="G33" s="55"/>
      <c r="H33" s="53">
        <f>F33+G33</f>
        <v>825000</v>
      </c>
      <c r="I33" s="53">
        <v>818457.85</v>
      </c>
      <c r="J33" s="224">
        <f t="shared" si="2"/>
        <v>99.20701212121212</v>
      </c>
      <c r="K33" s="225" t="s">
        <v>633</v>
      </c>
    </row>
    <row r="34" spans="2:11" s="34" customFormat="1" ht="12.75">
      <c r="B34" s="48"/>
      <c r="C34" s="47"/>
      <c r="D34" s="48"/>
      <c r="E34" s="49"/>
      <c r="F34" s="53">
        <v>40000</v>
      </c>
      <c r="G34" s="55"/>
      <c r="H34" s="53">
        <f>F34+G34</f>
        <v>40000</v>
      </c>
      <c r="I34" s="53">
        <v>40000</v>
      </c>
      <c r="J34" s="224">
        <f t="shared" si="2"/>
        <v>100</v>
      </c>
      <c r="K34" s="225" t="s">
        <v>634</v>
      </c>
    </row>
    <row r="35" spans="2:11" s="34" customFormat="1" ht="24">
      <c r="B35" s="48"/>
      <c r="C35" s="47"/>
      <c r="D35" s="48"/>
      <c r="E35" s="49"/>
      <c r="F35" s="53">
        <v>18000</v>
      </c>
      <c r="G35" s="55"/>
      <c r="H35" s="53">
        <f>F35+G35</f>
        <v>18000</v>
      </c>
      <c r="I35" s="53">
        <v>17080</v>
      </c>
      <c r="J35" s="224">
        <f t="shared" si="2"/>
        <v>94.88888888888889</v>
      </c>
      <c r="K35" s="225" t="s">
        <v>788</v>
      </c>
    </row>
    <row r="36" spans="2:11" s="34" customFormat="1" ht="24">
      <c r="B36" s="48"/>
      <c r="C36" s="47"/>
      <c r="D36" s="48"/>
      <c r="E36" s="49"/>
      <c r="F36" s="53">
        <v>148000</v>
      </c>
      <c r="G36" s="55"/>
      <c r="H36" s="53">
        <f>F36+G36</f>
        <v>148000</v>
      </c>
      <c r="I36" s="53">
        <v>147999.98</v>
      </c>
      <c r="J36" s="224">
        <f t="shared" si="2"/>
        <v>99.9999864864865</v>
      </c>
      <c r="K36" s="225" t="s">
        <v>635</v>
      </c>
    </row>
    <row r="37" spans="2:11" s="34" customFormat="1" ht="25.5">
      <c r="B37" s="229">
        <v>700</v>
      </c>
      <c r="C37" s="229"/>
      <c r="D37" s="229"/>
      <c r="E37" s="230" t="s">
        <v>113</v>
      </c>
      <c r="F37" s="231">
        <f>F43+F38</f>
        <v>1141793</v>
      </c>
      <c r="G37" s="658">
        <f>G43+G38</f>
        <v>0</v>
      </c>
      <c r="H37" s="231">
        <f>H43+H38</f>
        <v>1141793</v>
      </c>
      <c r="I37" s="231">
        <f>I43+I38</f>
        <v>1013936.4</v>
      </c>
      <c r="J37" s="58">
        <f t="shared" si="2"/>
        <v>88.80212087479954</v>
      </c>
      <c r="K37" s="232"/>
    </row>
    <row r="38" spans="2:11" s="659" customFormat="1" ht="38.25">
      <c r="B38" s="74"/>
      <c r="C38" s="42">
        <v>70004</v>
      </c>
      <c r="D38" s="42"/>
      <c r="E38" s="43" t="s">
        <v>393</v>
      </c>
      <c r="F38" s="64">
        <f>F39</f>
        <v>260470</v>
      </c>
      <c r="G38" s="65">
        <f>G39</f>
        <v>0</v>
      </c>
      <c r="H38" s="64">
        <f>H39</f>
        <v>260470</v>
      </c>
      <c r="I38" s="64">
        <f>I39</f>
        <v>260470</v>
      </c>
      <c r="J38" s="44">
        <f t="shared" si="2"/>
        <v>100</v>
      </c>
      <c r="K38" s="227"/>
    </row>
    <row r="39" spans="2:11" s="28" customFormat="1" ht="114.75">
      <c r="B39" s="660"/>
      <c r="C39" s="660"/>
      <c r="D39" s="661">
        <v>6210</v>
      </c>
      <c r="E39" s="662" t="s">
        <v>395</v>
      </c>
      <c r="F39" s="663">
        <f>SUM(F40:F42)</f>
        <v>260470</v>
      </c>
      <c r="G39" s="664">
        <f>SUM(G40:G42)</f>
        <v>0</v>
      </c>
      <c r="H39" s="663">
        <f>SUM(H40:H42)</f>
        <v>260470</v>
      </c>
      <c r="I39" s="663">
        <f>SUM(I40:I42)</f>
        <v>260470</v>
      </c>
      <c r="J39" s="224">
        <f aca="true" t="shared" si="3" ref="J39:J47">I39*100/H39</f>
        <v>100</v>
      </c>
      <c r="K39" s="228"/>
    </row>
    <row r="40" spans="2:11" s="28" customFormat="1" ht="29.25" customHeight="1">
      <c r="B40" s="660"/>
      <c r="C40" s="660"/>
      <c r="D40" s="661"/>
      <c r="E40" s="662"/>
      <c r="F40" s="665">
        <v>16470</v>
      </c>
      <c r="G40" s="666"/>
      <c r="H40" s="53">
        <f aca="true" t="shared" si="4" ref="H40:I42">F40+G40</f>
        <v>16470</v>
      </c>
      <c r="I40" s="53">
        <f t="shared" si="4"/>
        <v>16470</v>
      </c>
      <c r="J40" s="224">
        <f t="shared" si="3"/>
        <v>100</v>
      </c>
      <c r="K40" s="228" t="s">
        <v>789</v>
      </c>
    </row>
    <row r="41" spans="2:11" s="28" customFormat="1" ht="18" customHeight="1">
      <c r="B41" s="660"/>
      <c r="C41" s="660"/>
      <c r="D41" s="661"/>
      <c r="E41" s="662"/>
      <c r="F41" s="665">
        <v>73200</v>
      </c>
      <c r="G41" s="666"/>
      <c r="H41" s="53">
        <f t="shared" si="4"/>
        <v>73200</v>
      </c>
      <c r="I41" s="53">
        <f t="shared" si="4"/>
        <v>73200</v>
      </c>
      <c r="J41" s="224">
        <f t="shared" si="3"/>
        <v>100</v>
      </c>
      <c r="K41" s="228" t="s">
        <v>790</v>
      </c>
    </row>
    <row r="42" spans="2:11" s="28" customFormat="1" ht="17.25" customHeight="1">
      <c r="B42" s="660"/>
      <c r="C42" s="660"/>
      <c r="D42" s="661"/>
      <c r="E42" s="662"/>
      <c r="F42" s="665">
        <v>170800</v>
      </c>
      <c r="G42" s="666"/>
      <c r="H42" s="53">
        <f t="shared" si="4"/>
        <v>170800</v>
      </c>
      <c r="I42" s="53">
        <f t="shared" si="4"/>
        <v>170800</v>
      </c>
      <c r="J42" s="224">
        <f t="shared" si="3"/>
        <v>100</v>
      </c>
      <c r="K42" s="228" t="s">
        <v>791</v>
      </c>
    </row>
    <row r="43" spans="2:11" s="73" customFormat="1" ht="25.5">
      <c r="B43" s="74"/>
      <c r="C43" s="42">
        <v>70005</v>
      </c>
      <c r="D43" s="42"/>
      <c r="E43" s="43" t="s">
        <v>114</v>
      </c>
      <c r="F43" s="44">
        <f>SUM(F44:F45)</f>
        <v>881323</v>
      </c>
      <c r="G43" s="45">
        <f>SUM(G44:G45)</f>
        <v>0</v>
      </c>
      <c r="H43" s="44">
        <f>SUM(H44:H45)</f>
        <v>881323</v>
      </c>
      <c r="I43" s="44">
        <f>SUM(I44:I45)</f>
        <v>753466.4</v>
      </c>
      <c r="J43" s="44">
        <f>I43*100/H43</f>
        <v>85.49265138887786</v>
      </c>
      <c r="K43" s="233"/>
    </row>
    <row r="44" spans="2:11" s="73" customFormat="1" ht="38.25">
      <c r="B44" s="74"/>
      <c r="C44" s="74"/>
      <c r="D44" s="48">
        <v>6050</v>
      </c>
      <c r="E44" s="49" t="s">
        <v>1204</v>
      </c>
      <c r="F44" s="66">
        <v>53500</v>
      </c>
      <c r="G44" s="67"/>
      <c r="H44" s="53">
        <f>F44+G44</f>
        <v>53500</v>
      </c>
      <c r="I44" s="53">
        <v>12</v>
      </c>
      <c r="J44" s="224">
        <f t="shared" si="3"/>
        <v>0.022429906542056073</v>
      </c>
      <c r="K44" s="234" t="s">
        <v>671</v>
      </c>
    </row>
    <row r="45" spans="2:11" s="73" customFormat="1" ht="51">
      <c r="B45" s="74"/>
      <c r="C45" s="74"/>
      <c r="D45" s="48">
        <v>6060</v>
      </c>
      <c r="E45" s="49" t="s">
        <v>396</v>
      </c>
      <c r="F45" s="64">
        <f>SUM(F46:F47)</f>
        <v>827823</v>
      </c>
      <c r="G45" s="65">
        <f>SUM(G46:G47)</f>
        <v>0</v>
      </c>
      <c r="H45" s="64">
        <f>SUM(H46:H47)</f>
        <v>827823</v>
      </c>
      <c r="I45" s="64">
        <f>SUM(I46:I47)</f>
        <v>753454.4</v>
      </c>
      <c r="J45" s="224">
        <f t="shared" si="3"/>
        <v>91.01636460934282</v>
      </c>
      <c r="K45" s="234"/>
    </row>
    <row r="46" spans="2:11" s="73" customFormat="1" ht="12.75">
      <c r="B46" s="74"/>
      <c r="C46" s="74"/>
      <c r="D46" s="48"/>
      <c r="E46" s="49"/>
      <c r="F46" s="66">
        <v>169865</v>
      </c>
      <c r="G46" s="67"/>
      <c r="H46" s="53">
        <f>F46+G46</f>
        <v>169865</v>
      </c>
      <c r="I46" s="53">
        <f>13788+8850+137150+6276</f>
        <v>166064</v>
      </c>
      <c r="J46" s="224">
        <f t="shared" si="3"/>
        <v>97.76234068230654</v>
      </c>
      <c r="K46" s="234" t="s">
        <v>672</v>
      </c>
    </row>
    <row r="47" spans="2:11" s="73" customFormat="1" ht="12.75">
      <c r="B47" s="74"/>
      <c r="C47" s="74"/>
      <c r="D47" s="48"/>
      <c r="E47" s="49"/>
      <c r="F47" s="66">
        <v>657958</v>
      </c>
      <c r="G47" s="67"/>
      <c r="H47" s="53">
        <f>F47+G47</f>
        <v>657958</v>
      </c>
      <c r="I47" s="66">
        <f>252405.9+107122+1500+20073+31381.5+116850+58058</f>
        <v>587390.4</v>
      </c>
      <c r="J47" s="224">
        <f t="shared" si="3"/>
        <v>89.27475613944964</v>
      </c>
      <c r="K47" s="234" t="s">
        <v>673</v>
      </c>
    </row>
    <row r="48" spans="2:11" s="34" customFormat="1" ht="25.5">
      <c r="B48" s="61">
        <v>750</v>
      </c>
      <c r="C48" s="61"/>
      <c r="D48" s="61"/>
      <c r="E48" s="62" t="s">
        <v>125</v>
      </c>
      <c r="F48" s="58">
        <f>F49</f>
        <v>246046</v>
      </c>
      <c r="G48" s="59">
        <f>G49</f>
        <v>0</v>
      </c>
      <c r="H48" s="58">
        <f>H49+H54</f>
        <v>246046</v>
      </c>
      <c r="I48" s="58">
        <f>I49+I54</f>
        <v>194475.47</v>
      </c>
      <c r="J48" s="58">
        <f>I48*100/H48</f>
        <v>79.04028921421198</v>
      </c>
      <c r="K48" s="226"/>
    </row>
    <row r="49" spans="2:11" s="34" customFormat="1" ht="12.75">
      <c r="B49" s="42"/>
      <c r="C49" s="42">
        <v>75023</v>
      </c>
      <c r="D49" s="42"/>
      <c r="E49" s="43" t="s">
        <v>958</v>
      </c>
      <c r="F49" s="44">
        <f>F50+F51+F54</f>
        <v>246046</v>
      </c>
      <c r="G49" s="45">
        <f>G50+G51+G54</f>
        <v>0</v>
      </c>
      <c r="H49" s="44">
        <f>H50+H51</f>
        <v>127200</v>
      </c>
      <c r="I49" s="44">
        <f>I50+I51</f>
        <v>97057.4</v>
      </c>
      <c r="J49" s="44">
        <f>I49*100/H49</f>
        <v>76.30298742138365</v>
      </c>
      <c r="K49" s="222"/>
    </row>
    <row r="50" spans="2:11" s="34" customFormat="1" ht="48">
      <c r="B50" s="42"/>
      <c r="C50" s="42"/>
      <c r="D50" s="48">
        <v>6050</v>
      </c>
      <c r="E50" s="49" t="s">
        <v>1204</v>
      </c>
      <c r="F50" s="50">
        <v>45000</v>
      </c>
      <c r="G50" s="51"/>
      <c r="H50" s="53">
        <f>F50+G50</f>
        <v>45000</v>
      </c>
      <c r="I50" s="53">
        <f>G50+H50</f>
        <v>45000</v>
      </c>
      <c r="J50" s="224">
        <f aca="true" t="shared" si="5" ref="J50:J60">I50*100/H50</f>
        <v>100</v>
      </c>
      <c r="K50" s="228" t="s">
        <v>792</v>
      </c>
    </row>
    <row r="51" spans="2:11" s="34" customFormat="1" ht="51">
      <c r="B51" s="42"/>
      <c r="C51" s="48"/>
      <c r="D51" s="48">
        <v>6060</v>
      </c>
      <c r="E51" s="49" t="s">
        <v>396</v>
      </c>
      <c r="F51" s="44">
        <f>SUM(F52:F53)</f>
        <v>82200</v>
      </c>
      <c r="G51" s="45">
        <f>SUM(G52:G53)</f>
        <v>0</v>
      </c>
      <c r="H51" s="44">
        <f>SUM(H52:H53)</f>
        <v>82200</v>
      </c>
      <c r="I51" s="44">
        <f>SUM(I52:I53)</f>
        <v>52057.4</v>
      </c>
      <c r="J51" s="44">
        <f t="shared" si="5"/>
        <v>63.330170316301704</v>
      </c>
      <c r="K51" s="222"/>
    </row>
    <row r="52" spans="2:11" s="34" customFormat="1" ht="12.75">
      <c r="B52" s="42"/>
      <c r="C52" s="48"/>
      <c r="D52" s="48"/>
      <c r="E52" s="49"/>
      <c r="F52" s="50">
        <v>30142</v>
      </c>
      <c r="G52" s="51"/>
      <c r="H52" s="53">
        <f>F52+G52</f>
        <v>30142</v>
      </c>
      <c r="I52" s="53">
        <v>0</v>
      </c>
      <c r="J52" s="224">
        <f t="shared" si="5"/>
        <v>0</v>
      </c>
      <c r="K52" s="222" t="s">
        <v>674</v>
      </c>
    </row>
    <row r="53" spans="2:11" s="34" customFormat="1" ht="12.75">
      <c r="B53" s="42"/>
      <c r="C53" s="48"/>
      <c r="D53" s="48"/>
      <c r="E53" s="49"/>
      <c r="F53" s="50">
        <v>52058</v>
      </c>
      <c r="G53" s="51"/>
      <c r="H53" s="53">
        <f>F53+G53</f>
        <v>52058</v>
      </c>
      <c r="I53" s="53">
        <v>52057.4</v>
      </c>
      <c r="J53" s="224">
        <f t="shared" si="5"/>
        <v>99.99884743939452</v>
      </c>
      <c r="K53" s="222" t="s">
        <v>793</v>
      </c>
    </row>
    <row r="54" spans="2:11" s="34" customFormat="1" ht="12.75">
      <c r="B54" s="42"/>
      <c r="C54" s="42">
        <v>75095</v>
      </c>
      <c r="D54" s="42"/>
      <c r="E54" s="43" t="s">
        <v>99</v>
      </c>
      <c r="F54" s="44">
        <f>F55+F58</f>
        <v>118846</v>
      </c>
      <c r="G54" s="45">
        <f>G55+G58</f>
        <v>0</v>
      </c>
      <c r="H54" s="44">
        <f>H55+H58</f>
        <v>118846</v>
      </c>
      <c r="I54" s="44">
        <f>I55+I58</f>
        <v>97418.07</v>
      </c>
      <c r="J54" s="224">
        <f t="shared" si="5"/>
        <v>81.97000319741514</v>
      </c>
      <c r="K54" s="222"/>
    </row>
    <row r="55" spans="2:11" s="34" customFormat="1" ht="38.25">
      <c r="B55" s="42"/>
      <c r="C55" s="48"/>
      <c r="D55" s="48">
        <v>6050</v>
      </c>
      <c r="E55" s="49" t="s">
        <v>1204</v>
      </c>
      <c r="F55" s="224">
        <f>SUM(F56:F57)</f>
        <v>90646</v>
      </c>
      <c r="G55" s="656">
        <f>SUM(G56:G57)</f>
        <v>0</v>
      </c>
      <c r="H55" s="44">
        <f>SUM(H56:H57)</f>
        <v>90646</v>
      </c>
      <c r="I55" s="44">
        <f>SUM(I56:I57)</f>
        <v>69218.07</v>
      </c>
      <c r="J55" s="224">
        <f t="shared" si="5"/>
        <v>76.36086534430643</v>
      </c>
      <c r="K55" s="235"/>
    </row>
    <row r="56" spans="2:11" s="34" customFormat="1" ht="21" customHeight="1">
      <c r="B56" s="42"/>
      <c r="C56" s="48"/>
      <c r="D56" s="48"/>
      <c r="E56" s="49"/>
      <c r="F56" s="50">
        <v>74646</v>
      </c>
      <c r="G56" s="51"/>
      <c r="H56" s="53">
        <f>F56+G56</f>
        <v>74646</v>
      </c>
      <c r="I56" s="53">
        <v>53222.65</v>
      </c>
      <c r="J56" s="224">
        <f t="shared" si="5"/>
        <v>71.30006966213863</v>
      </c>
      <c r="K56" s="235" t="s">
        <v>675</v>
      </c>
    </row>
    <row r="57" spans="2:11" s="34" customFormat="1" ht="25.5">
      <c r="B57" s="42"/>
      <c r="C57" s="48"/>
      <c r="D57" s="48"/>
      <c r="E57" s="49"/>
      <c r="F57" s="50">
        <v>16000</v>
      </c>
      <c r="G57" s="51"/>
      <c r="H57" s="53">
        <f>F57+G57</f>
        <v>16000</v>
      </c>
      <c r="I57" s="53">
        <v>15995.42</v>
      </c>
      <c r="J57" s="224">
        <f t="shared" si="5"/>
        <v>99.971375</v>
      </c>
      <c r="K57" s="667" t="s">
        <v>794</v>
      </c>
    </row>
    <row r="58" spans="2:11" s="34" customFormat="1" ht="51">
      <c r="B58" s="42"/>
      <c r="C58" s="48"/>
      <c r="D58" s="48">
        <v>6060</v>
      </c>
      <c r="E58" s="49" t="s">
        <v>396</v>
      </c>
      <c r="F58" s="44">
        <f>SUM(F59:F60)</f>
        <v>28200</v>
      </c>
      <c r="G58" s="45">
        <f>SUM(G59:G60)</f>
        <v>0</v>
      </c>
      <c r="H58" s="44">
        <f>SUM(H59:H60)</f>
        <v>28200</v>
      </c>
      <c r="I58" s="44">
        <f>SUM(I59:I60)</f>
        <v>28200</v>
      </c>
      <c r="J58" s="224">
        <f t="shared" si="5"/>
        <v>100</v>
      </c>
      <c r="K58" s="235"/>
    </row>
    <row r="59" spans="2:11" s="34" customFormat="1" ht="36">
      <c r="B59" s="42"/>
      <c r="C59" s="48"/>
      <c r="D59" s="48"/>
      <c r="E59" s="49"/>
      <c r="F59" s="50">
        <v>21000</v>
      </c>
      <c r="G59" s="51"/>
      <c r="H59" s="53">
        <f>F59+G59</f>
        <v>21000</v>
      </c>
      <c r="I59" s="53">
        <f>G59+H59</f>
        <v>21000</v>
      </c>
      <c r="J59" s="224">
        <f t="shared" si="5"/>
        <v>100</v>
      </c>
      <c r="K59" s="235" t="s">
        <v>676</v>
      </c>
    </row>
    <row r="60" spans="2:11" s="34" customFormat="1" ht="24">
      <c r="B60" s="42"/>
      <c r="C60" s="48"/>
      <c r="D60" s="48"/>
      <c r="E60" s="49"/>
      <c r="F60" s="50">
        <v>7200</v>
      </c>
      <c r="G60" s="51"/>
      <c r="H60" s="53">
        <f>F60+G60</f>
        <v>7200</v>
      </c>
      <c r="I60" s="53">
        <f>G60+H60</f>
        <v>7200</v>
      </c>
      <c r="J60" s="224">
        <f t="shared" si="5"/>
        <v>100</v>
      </c>
      <c r="K60" s="235" t="s">
        <v>795</v>
      </c>
    </row>
    <row r="61" spans="2:11" s="34" customFormat="1" ht="38.25">
      <c r="B61" s="61">
        <v>754</v>
      </c>
      <c r="C61" s="61"/>
      <c r="D61" s="61"/>
      <c r="E61" s="62" t="s">
        <v>966</v>
      </c>
      <c r="F61" s="58">
        <f>F64+F62</f>
        <v>61000</v>
      </c>
      <c r="G61" s="59">
        <f>G64+G62</f>
        <v>0</v>
      </c>
      <c r="H61" s="58">
        <f>H64+H62</f>
        <v>61000</v>
      </c>
      <c r="I61" s="58">
        <f>I64+I62</f>
        <v>60457.06</v>
      </c>
      <c r="J61" s="58">
        <f aca="true" t="shared" si="6" ref="J61:J67">I61*100/H61</f>
        <v>99.10993442622951</v>
      </c>
      <c r="K61" s="226"/>
    </row>
    <row r="62" spans="2:11" s="63" customFormat="1" ht="25.5">
      <c r="B62" s="74"/>
      <c r="C62" s="42">
        <v>75403</v>
      </c>
      <c r="D62" s="42"/>
      <c r="E62" s="43" t="s">
        <v>502</v>
      </c>
      <c r="F62" s="64">
        <f>F63</f>
        <v>53000</v>
      </c>
      <c r="G62" s="65">
        <f>G63</f>
        <v>0</v>
      </c>
      <c r="H62" s="64">
        <f>H63</f>
        <v>53000</v>
      </c>
      <c r="I62" s="64">
        <f>I63</f>
        <v>53000</v>
      </c>
      <c r="J62" s="44">
        <f t="shared" si="6"/>
        <v>100</v>
      </c>
      <c r="K62" s="227"/>
    </row>
    <row r="63" spans="2:11" s="63" customFormat="1" ht="51">
      <c r="B63" s="74"/>
      <c r="C63" s="74"/>
      <c r="D63" s="48">
        <v>6060</v>
      </c>
      <c r="E63" s="49" t="s">
        <v>396</v>
      </c>
      <c r="F63" s="66">
        <v>53000</v>
      </c>
      <c r="G63" s="67"/>
      <c r="H63" s="50">
        <f>F63+G63</f>
        <v>53000</v>
      </c>
      <c r="I63" s="50">
        <f>G63+H63</f>
        <v>53000</v>
      </c>
      <c r="J63" s="224">
        <f t="shared" si="6"/>
        <v>100</v>
      </c>
      <c r="K63" s="667" t="s">
        <v>796</v>
      </c>
    </row>
    <row r="64" spans="2:11" s="34" customFormat="1" ht="25.5">
      <c r="B64" s="42"/>
      <c r="C64" s="42">
        <v>75412</v>
      </c>
      <c r="D64" s="42"/>
      <c r="E64" s="43" t="s">
        <v>503</v>
      </c>
      <c r="F64" s="44">
        <f>SUM(F65:F65)</f>
        <v>8000</v>
      </c>
      <c r="G64" s="45">
        <f>SUM(G65:G65)</f>
        <v>0</v>
      </c>
      <c r="H64" s="44">
        <f>SUM(H65:H65)</f>
        <v>8000</v>
      </c>
      <c r="I64" s="44">
        <f>SUM(I65:I65)</f>
        <v>7457.06</v>
      </c>
      <c r="J64" s="44">
        <f t="shared" si="6"/>
        <v>93.21325</v>
      </c>
      <c r="K64" s="222"/>
    </row>
    <row r="65" spans="2:11" s="34" customFormat="1" ht="140.25">
      <c r="B65" s="42"/>
      <c r="C65" s="42"/>
      <c r="D65" s="48">
        <v>6230</v>
      </c>
      <c r="E65" s="49" t="s">
        <v>504</v>
      </c>
      <c r="F65" s="50">
        <v>8000</v>
      </c>
      <c r="G65" s="51"/>
      <c r="H65" s="50">
        <f>F65+G65</f>
        <v>8000</v>
      </c>
      <c r="I65" s="50">
        <v>7457.06</v>
      </c>
      <c r="J65" s="224">
        <f t="shared" si="6"/>
        <v>93.21325</v>
      </c>
      <c r="K65" s="222" t="s">
        <v>677</v>
      </c>
    </row>
    <row r="66" spans="2:11" s="34" customFormat="1" ht="12.75">
      <c r="B66" s="61">
        <v>801</v>
      </c>
      <c r="C66" s="61"/>
      <c r="D66" s="61"/>
      <c r="E66" s="62" t="s">
        <v>350</v>
      </c>
      <c r="F66" s="58">
        <f>F69+F76+F67+F84</f>
        <v>112377</v>
      </c>
      <c r="G66" s="59">
        <f>G69+G76+G67+G84</f>
        <v>4121</v>
      </c>
      <c r="H66" s="58">
        <f>H69+H76+H67+H84</f>
        <v>116498</v>
      </c>
      <c r="I66" s="58">
        <f>I69+I76+I67+I84</f>
        <v>116495.68000000001</v>
      </c>
      <c r="J66" s="58">
        <f t="shared" si="6"/>
        <v>99.998008549503</v>
      </c>
      <c r="K66" s="226"/>
    </row>
    <row r="67" spans="2:11" s="63" customFormat="1" ht="19.5" customHeight="1">
      <c r="B67" s="74"/>
      <c r="C67" s="42">
        <v>80101</v>
      </c>
      <c r="D67" s="42"/>
      <c r="E67" s="43" t="s">
        <v>351</v>
      </c>
      <c r="F67" s="64">
        <f>F68</f>
        <v>16333</v>
      </c>
      <c r="G67" s="65">
        <f>G68</f>
        <v>0</v>
      </c>
      <c r="H67" s="64">
        <f>H68</f>
        <v>16333</v>
      </c>
      <c r="I67" s="64">
        <f>I68</f>
        <v>16332.92</v>
      </c>
      <c r="J67" s="44">
        <f t="shared" si="6"/>
        <v>99.99951019408559</v>
      </c>
      <c r="K67" s="227"/>
    </row>
    <row r="68" spans="2:11" s="34" customFormat="1" ht="39" customHeight="1">
      <c r="B68" s="42"/>
      <c r="C68" s="48"/>
      <c r="D68" s="48">
        <v>6060</v>
      </c>
      <c r="E68" s="49" t="s">
        <v>396</v>
      </c>
      <c r="F68" s="50">
        <v>16333</v>
      </c>
      <c r="G68" s="51"/>
      <c r="H68" s="53">
        <f>F68+G68</f>
        <v>16333</v>
      </c>
      <c r="I68" s="53">
        <v>16332.92</v>
      </c>
      <c r="J68" s="224">
        <f aca="true" t="shared" si="7" ref="J68:J87">I68*100/H68</f>
        <v>99.99951019408559</v>
      </c>
      <c r="K68" s="222" t="s">
        <v>678</v>
      </c>
    </row>
    <row r="69" spans="2:11" s="34" customFormat="1" ht="12.75">
      <c r="B69" s="42"/>
      <c r="C69" s="42">
        <v>80104</v>
      </c>
      <c r="D69" s="42"/>
      <c r="E69" s="43" t="s">
        <v>354</v>
      </c>
      <c r="F69" s="44">
        <f>F70+F73</f>
        <v>36715</v>
      </c>
      <c r="G69" s="45">
        <f>G70+G73</f>
        <v>4121</v>
      </c>
      <c r="H69" s="44">
        <f>H70+H73</f>
        <v>40836</v>
      </c>
      <c r="I69" s="44">
        <f>I70+I73</f>
        <v>40835.46000000001</v>
      </c>
      <c r="J69" s="44">
        <f t="shared" si="7"/>
        <v>99.99867763737879</v>
      </c>
      <c r="K69" s="222"/>
    </row>
    <row r="70" spans="2:11" s="34" customFormat="1" ht="38.25">
      <c r="B70" s="42"/>
      <c r="C70" s="48"/>
      <c r="D70" s="48">
        <v>6050</v>
      </c>
      <c r="E70" s="49" t="s">
        <v>1204</v>
      </c>
      <c r="F70" s="224">
        <f>SUM(F71:F72)</f>
        <v>30615</v>
      </c>
      <c r="G70" s="656">
        <f>SUM(G71:G72)</f>
        <v>4126</v>
      </c>
      <c r="H70" s="44">
        <f>SUM(H71:H72)</f>
        <v>34741</v>
      </c>
      <c r="I70" s="44">
        <f>SUM(I71:I72)</f>
        <v>34740.990000000005</v>
      </c>
      <c r="J70" s="44">
        <f t="shared" si="7"/>
        <v>99.99997121556663</v>
      </c>
      <c r="K70" s="222"/>
    </row>
    <row r="71" spans="2:11" s="34" customFormat="1" ht="24">
      <c r="B71" s="42"/>
      <c r="C71" s="48"/>
      <c r="D71" s="48"/>
      <c r="E71" s="49"/>
      <c r="F71" s="50">
        <v>6084</v>
      </c>
      <c r="G71" s="51">
        <v>4126</v>
      </c>
      <c r="H71" s="53">
        <f>F71+G71</f>
        <v>10210</v>
      </c>
      <c r="I71" s="53">
        <f>10576.29-366</f>
        <v>10210.29</v>
      </c>
      <c r="J71" s="224">
        <f t="shared" si="7"/>
        <v>100.00284035259551</v>
      </c>
      <c r="K71" s="222" t="s">
        <v>797</v>
      </c>
    </row>
    <row r="72" spans="2:11" s="34" customFormat="1" ht="24">
      <c r="B72" s="42"/>
      <c r="C72" s="48"/>
      <c r="D72" s="48"/>
      <c r="E72" s="49"/>
      <c r="F72" s="50">
        <v>24531</v>
      </c>
      <c r="G72" s="72"/>
      <c r="H72" s="53">
        <f>F72+G72</f>
        <v>24531</v>
      </c>
      <c r="I72" s="53">
        <f>24164.7+366</f>
        <v>24530.7</v>
      </c>
      <c r="J72" s="224">
        <f t="shared" si="7"/>
        <v>99.99877705760059</v>
      </c>
      <c r="K72" s="236" t="s">
        <v>679</v>
      </c>
    </row>
    <row r="73" spans="2:11" s="34" customFormat="1" ht="51">
      <c r="B73" s="42"/>
      <c r="C73" s="48"/>
      <c r="D73" s="48">
        <v>6060</v>
      </c>
      <c r="E73" s="49" t="s">
        <v>396</v>
      </c>
      <c r="F73" s="44">
        <f>SUM(F74:F75)</f>
        <v>6100</v>
      </c>
      <c r="G73" s="70">
        <f>SUM(G74:G75)</f>
        <v>-5</v>
      </c>
      <c r="H73" s="44">
        <f>SUM(H74:H75)</f>
        <v>6095</v>
      </c>
      <c r="I73" s="44">
        <f>SUM(I74:I75)</f>
        <v>6094.469999999999</v>
      </c>
      <c r="J73" s="44">
        <f t="shared" si="7"/>
        <v>99.99130434782607</v>
      </c>
      <c r="K73" s="237"/>
    </row>
    <row r="74" spans="2:11" s="34" customFormat="1" ht="12.75">
      <c r="B74" s="42"/>
      <c r="C74" s="48"/>
      <c r="D74" s="48"/>
      <c r="E74" s="49"/>
      <c r="F74" s="50">
        <v>3000</v>
      </c>
      <c r="G74" s="72"/>
      <c r="H74" s="53">
        <f>F74+G74</f>
        <v>3000</v>
      </c>
      <c r="I74" s="53">
        <f>G74+H74</f>
        <v>3000</v>
      </c>
      <c r="J74" s="224">
        <f t="shared" si="7"/>
        <v>100</v>
      </c>
      <c r="K74" s="237" t="s">
        <v>680</v>
      </c>
    </row>
    <row r="75" spans="2:11" s="34" customFormat="1" ht="12.75">
      <c r="B75" s="42"/>
      <c r="C75" s="48"/>
      <c r="D75" s="48"/>
      <c r="E75" s="49"/>
      <c r="F75" s="50">
        <v>3100</v>
      </c>
      <c r="G75" s="72">
        <v>-5</v>
      </c>
      <c r="H75" s="53">
        <f>F75+G75</f>
        <v>3095</v>
      </c>
      <c r="I75" s="53">
        <v>3094.47</v>
      </c>
      <c r="J75" s="224">
        <f t="shared" si="7"/>
        <v>99.98287560581583</v>
      </c>
      <c r="K75" s="237" t="s">
        <v>798</v>
      </c>
    </row>
    <row r="76" spans="2:11" s="34" customFormat="1" ht="12.75">
      <c r="B76" s="42"/>
      <c r="C76" s="42">
        <v>80110</v>
      </c>
      <c r="D76" s="42"/>
      <c r="E76" s="43" t="s">
        <v>359</v>
      </c>
      <c r="F76" s="44">
        <f>F77+F81</f>
        <v>51318</v>
      </c>
      <c r="G76" s="45">
        <f>G77+G81</f>
        <v>0</v>
      </c>
      <c r="H76" s="44">
        <f>H77+H81</f>
        <v>51318</v>
      </c>
      <c r="I76" s="44">
        <f>I77+I81</f>
        <v>51316.78</v>
      </c>
      <c r="J76" s="44">
        <f t="shared" si="7"/>
        <v>99.99762266651078</v>
      </c>
      <c r="K76" s="222"/>
    </row>
    <row r="77" spans="2:11" s="34" customFormat="1" ht="38.25">
      <c r="B77" s="42"/>
      <c r="C77" s="42"/>
      <c r="D77" s="48">
        <v>6050</v>
      </c>
      <c r="E77" s="49" t="s">
        <v>1204</v>
      </c>
      <c r="F77" s="44">
        <f>SUM(F78:F80)</f>
        <v>44961</v>
      </c>
      <c r="G77" s="45">
        <f>SUM(G78:G80)</f>
        <v>0</v>
      </c>
      <c r="H77" s="44">
        <f>SUM(H78:H80)</f>
        <v>44961</v>
      </c>
      <c r="I77" s="44">
        <f>SUM(I78:I80)</f>
        <v>44960.34</v>
      </c>
      <c r="J77" s="44">
        <f t="shared" si="7"/>
        <v>99.99853206111963</v>
      </c>
      <c r="K77" s="222"/>
    </row>
    <row r="78" spans="2:11" s="34" customFormat="1" ht="15" customHeight="1">
      <c r="B78" s="42"/>
      <c r="C78" s="42"/>
      <c r="D78" s="48"/>
      <c r="E78" s="49"/>
      <c r="F78" s="50">
        <v>12577</v>
      </c>
      <c r="G78" s="72"/>
      <c r="H78" s="53">
        <f>F78+G78</f>
        <v>12577</v>
      </c>
      <c r="I78" s="53">
        <v>12576.35</v>
      </c>
      <c r="J78" s="224">
        <f t="shared" si="7"/>
        <v>99.9948318358909</v>
      </c>
      <c r="K78" s="222" t="s">
        <v>799</v>
      </c>
    </row>
    <row r="79" spans="2:11" s="34" customFormat="1" ht="12.75">
      <c r="B79" s="42"/>
      <c r="C79" s="42"/>
      <c r="D79" s="48"/>
      <c r="E79" s="49"/>
      <c r="F79" s="50">
        <v>15913</v>
      </c>
      <c r="G79" s="72"/>
      <c r="H79" s="53">
        <f>F79+G79</f>
        <v>15913</v>
      </c>
      <c r="I79" s="53">
        <v>15912.53</v>
      </c>
      <c r="J79" s="224">
        <f t="shared" si="7"/>
        <v>99.9970464400176</v>
      </c>
      <c r="K79" s="222" t="s">
        <v>800</v>
      </c>
    </row>
    <row r="80" spans="2:11" s="34" customFormat="1" ht="24">
      <c r="B80" s="42"/>
      <c r="C80" s="42"/>
      <c r="D80" s="48"/>
      <c r="E80" s="49"/>
      <c r="F80" s="50">
        <v>16471</v>
      </c>
      <c r="G80" s="72"/>
      <c r="H80" s="53">
        <f>F80+G80</f>
        <v>16471</v>
      </c>
      <c r="I80" s="53">
        <v>16471.46</v>
      </c>
      <c r="J80" s="224">
        <f t="shared" si="7"/>
        <v>100.00279278732317</v>
      </c>
      <c r="K80" s="222" t="s">
        <v>801</v>
      </c>
    </row>
    <row r="81" spans="2:11" s="34" customFormat="1" ht="51">
      <c r="B81" s="42"/>
      <c r="C81" s="42"/>
      <c r="D81" s="48">
        <v>6060</v>
      </c>
      <c r="E81" s="49" t="s">
        <v>396</v>
      </c>
      <c r="F81" s="44">
        <f>SUM(F82:F83)</f>
        <v>6357</v>
      </c>
      <c r="G81" s="45">
        <f>SUM(G82:G83)</f>
        <v>0</v>
      </c>
      <c r="H81" s="44">
        <f>SUM(H82:H83)</f>
        <v>6357</v>
      </c>
      <c r="I81" s="44">
        <f>SUM(I82:I83)</f>
        <v>6356.44</v>
      </c>
      <c r="J81" s="44">
        <f t="shared" si="7"/>
        <v>99.9911908132767</v>
      </c>
      <c r="K81" s="222"/>
    </row>
    <row r="82" spans="2:11" s="34" customFormat="1" ht="12.75">
      <c r="B82" s="42"/>
      <c r="C82" s="42"/>
      <c r="D82" s="48"/>
      <c r="E82" s="49"/>
      <c r="F82" s="50">
        <v>2129</v>
      </c>
      <c r="G82" s="51"/>
      <c r="H82" s="53">
        <f>F82+G82</f>
        <v>2129</v>
      </c>
      <c r="I82" s="53">
        <f>G82+H82</f>
        <v>2129</v>
      </c>
      <c r="J82" s="224">
        <f t="shared" si="7"/>
        <v>100</v>
      </c>
      <c r="K82" s="222" t="s">
        <v>681</v>
      </c>
    </row>
    <row r="83" spans="2:11" s="34" customFormat="1" ht="12.75">
      <c r="B83" s="42"/>
      <c r="C83" s="42"/>
      <c r="D83" s="48"/>
      <c r="E83" s="49"/>
      <c r="F83" s="50">
        <v>4228</v>
      </c>
      <c r="G83" s="51"/>
      <c r="H83" s="53">
        <f>F83+G83</f>
        <v>4228</v>
      </c>
      <c r="I83" s="53">
        <v>4227.44</v>
      </c>
      <c r="J83" s="224">
        <f t="shared" si="7"/>
        <v>99.9867549668874</v>
      </c>
      <c r="K83" s="222" t="s">
        <v>682</v>
      </c>
    </row>
    <row r="84" spans="2:11" s="34" customFormat="1" ht="38.25">
      <c r="B84" s="42"/>
      <c r="C84" s="42">
        <v>80114</v>
      </c>
      <c r="D84" s="42"/>
      <c r="E84" s="43" t="s">
        <v>588</v>
      </c>
      <c r="F84" s="44">
        <f>F85</f>
        <v>8011</v>
      </c>
      <c r="G84" s="45">
        <f>G85</f>
        <v>0</v>
      </c>
      <c r="H84" s="44">
        <f>H85</f>
        <v>8011</v>
      </c>
      <c r="I84" s="44">
        <f>I85</f>
        <v>8010.52</v>
      </c>
      <c r="J84" s="44">
        <f t="shared" si="7"/>
        <v>99.99400823867182</v>
      </c>
      <c r="K84" s="222"/>
    </row>
    <row r="85" spans="2:11" s="34" customFormat="1" ht="51">
      <c r="B85" s="42"/>
      <c r="C85" s="42"/>
      <c r="D85" s="48">
        <v>6060</v>
      </c>
      <c r="E85" s="49" t="s">
        <v>396</v>
      </c>
      <c r="F85" s="224">
        <f>SUM(F86:F87)</f>
        <v>8011</v>
      </c>
      <c r="G85" s="656">
        <f>SUM(G86:G87)</f>
        <v>0</v>
      </c>
      <c r="H85" s="224">
        <f>SUM(H86:H87)</f>
        <v>8011</v>
      </c>
      <c r="I85" s="224">
        <f>SUM(I86:I87)</f>
        <v>8010.52</v>
      </c>
      <c r="J85" s="224">
        <f t="shared" si="7"/>
        <v>99.99400823867182</v>
      </c>
      <c r="K85" s="222"/>
    </row>
    <row r="86" spans="2:11" s="34" customFormat="1" ht="12.75">
      <c r="B86" s="42"/>
      <c r="C86" s="42"/>
      <c r="D86" s="48"/>
      <c r="E86" s="49"/>
      <c r="F86" s="50">
        <v>6305</v>
      </c>
      <c r="G86" s="51"/>
      <c r="H86" s="53">
        <f>F86+G86</f>
        <v>6305</v>
      </c>
      <c r="I86" s="53">
        <v>6302.52</v>
      </c>
      <c r="J86" s="224">
        <f t="shared" si="7"/>
        <v>99.96066613798573</v>
      </c>
      <c r="K86" s="222" t="s">
        <v>680</v>
      </c>
    </row>
    <row r="87" spans="2:11" s="34" customFormat="1" ht="12.75">
      <c r="B87" s="42"/>
      <c r="C87" s="42"/>
      <c r="D87" s="48"/>
      <c r="E87" s="49"/>
      <c r="F87" s="50">
        <v>1706</v>
      </c>
      <c r="G87" s="51"/>
      <c r="H87" s="53">
        <f>F87+G87</f>
        <v>1706</v>
      </c>
      <c r="I87" s="53">
        <v>1708</v>
      </c>
      <c r="J87" s="224">
        <f t="shared" si="7"/>
        <v>100.11723329425557</v>
      </c>
      <c r="K87" s="222" t="s">
        <v>681</v>
      </c>
    </row>
    <row r="88" spans="2:11" s="34" customFormat="1" ht="12.75">
      <c r="B88" s="60">
        <v>851</v>
      </c>
      <c r="C88" s="78"/>
      <c r="D88" s="78"/>
      <c r="E88" s="62" t="s">
        <v>573</v>
      </c>
      <c r="F88" s="58">
        <f aca="true" t="shared" si="8" ref="F88:I89">F89</f>
        <v>0</v>
      </c>
      <c r="G88" s="59">
        <f t="shared" si="8"/>
        <v>0</v>
      </c>
      <c r="H88" s="58">
        <f t="shared" si="8"/>
        <v>0</v>
      </c>
      <c r="I88" s="58">
        <f t="shared" si="8"/>
        <v>0</v>
      </c>
      <c r="J88" s="58"/>
      <c r="K88" s="226"/>
    </row>
    <row r="89" spans="2:11" s="34" customFormat="1" ht="25.5">
      <c r="B89" s="40"/>
      <c r="C89" s="42">
        <v>85154</v>
      </c>
      <c r="D89" s="42"/>
      <c r="E89" s="43" t="s">
        <v>574</v>
      </c>
      <c r="F89" s="44">
        <f t="shared" si="8"/>
        <v>0</v>
      </c>
      <c r="G89" s="45">
        <f t="shared" si="8"/>
        <v>0</v>
      </c>
      <c r="H89" s="44">
        <f t="shared" si="8"/>
        <v>0</v>
      </c>
      <c r="I89" s="44">
        <f t="shared" si="8"/>
        <v>0</v>
      </c>
      <c r="J89" s="44"/>
      <c r="K89" s="222"/>
    </row>
    <row r="90" spans="2:11" s="34" customFormat="1" ht="63.75">
      <c r="B90" s="42"/>
      <c r="C90" s="42"/>
      <c r="D90" s="48">
        <v>6170</v>
      </c>
      <c r="E90" s="49" t="s">
        <v>576</v>
      </c>
      <c r="F90" s="50">
        <v>0</v>
      </c>
      <c r="G90" s="72"/>
      <c r="H90" s="53">
        <f>F90+G90</f>
        <v>0</v>
      </c>
      <c r="I90" s="53">
        <f>G90+H90</f>
        <v>0</v>
      </c>
      <c r="J90" s="53"/>
      <c r="K90" s="222"/>
    </row>
    <row r="91" spans="2:11" s="34" customFormat="1" ht="12.75">
      <c r="B91" s="60">
        <v>852</v>
      </c>
      <c r="C91" s="78"/>
      <c r="D91" s="78"/>
      <c r="E91" s="62" t="s">
        <v>954</v>
      </c>
      <c r="F91" s="58">
        <f aca="true" t="shared" si="9" ref="F91:I92">F92</f>
        <v>4000</v>
      </c>
      <c r="G91" s="59">
        <f t="shared" si="9"/>
        <v>2930</v>
      </c>
      <c r="H91" s="58">
        <f t="shared" si="9"/>
        <v>6930</v>
      </c>
      <c r="I91" s="58">
        <f t="shared" si="9"/>
        <v>6929.6</v>
      </c>
      <c r="J91" s="58">
        <f>I91*100/H91</f>
        <v>99.994227994228</v>
      </c>
      <c r="K91" s="226"/>
    </row>
    <row r="92" spans="2:11" s="34" customFormat="1" ht="25.5">
      <c r="B92" s="42"/>
      <c r="C92" s="42">
        <v>85219</v>
      </c>
      <c r="D92" s="42"/>
      <c r="E92" s="43" t="s">
        <v>384</v>
      </c>
      <c r="F92" s="44">
        <f t="shared" si="9"/>
        <v>4000</v>
      </c>
      <c r="G92" s="45">
        <f t="shared" si="9"/>
        <v>2930</v>
      </c>
      <c r="H92" s="44">
        <f t="shared" si="9"/>
        <v>6930</v>
      </c>
      <c r="I92" s="44">
        <f t="shared" si="9"/>
        <v>6929.6</v>
      </c>
      <c r="J92" s="44">
        <f>I92*100/H92</f>
        <v>99.994227994228</v>
      </c>
      <c r="K92" s="222"/>
    </row>
    <row r="93" spans="2:11" s="34" customFormat="1" ht="51">
      <c r="B93" s="42"/>
      <c r="C93" s="42"/>
      <c r="D93" s="48">
        <v>6060</v>
      </c>
      <c r="E93" s="49" t="s">
        <v>396</v>
      </c>
      <c r="F93" s="50">
        <v>4000</v>
      </c>
      <c r="G93" s="51">
        <v>2930</v>
      </c>
      <c r="H93" s="53">
        <f>F93+G93</f>
        <v>6930</v>
      </c>
      <c r="I93" s="53">
        <v>6929.6</v>
      </c>
      <c r="J93" s="224">
        <f>I93*100/H93</f>
        <v>99.994227994228</v>
      </c>
      <c r="K93" s="222" t="s">
        <v>802</v>
      </c>
    </row>
    <row r="94" spans="2:11" s="34" customFormat="1" ht="38.25">
      <c r="B94" s="61">
        <v>900</v>
      </c>
      <c r="C94" s="61"/>
      <c r="D94" s="61"/>
      <c r="E94" s="62" t="s">
        <v>1159</v>
      </c>
      <c r="F94" s="58">
        <f>F97+F99+F95</f>
        <v>150000</v>
      </c>
      <c r="G94" s="59">
        <f>G97+G99+G95</f>
        <v>0</v>
      </c>
      <c r="H94" s="58">
        <f>H97+H99+H95</f>
        <v>150000</v>
      </c>
      <c r="I94" s="58">
        <f>I97+I99+I95</f>
        <v>92480.83</v>
      </c>
      <c r="J94" s="58">
        <f>I94*100/H94</f>
        <v>61.653886666666665</v>
      </c>
      <c r="K94" s="226"/>
    </row>
    <row r="95" spans="2:11" s="63" customFormat="1" ht="25.5">
      <c r="B95" s="74"/>
      <c r="C95" s="42">
        <v>90001</v>
      </c>
      <c r="D95" s="42"/>
      <c r="E95" s="43" t="s">
        <v>699</v>
      </c>
      <c r="F95" s="64">
        <f>F96</f>
        <v>0</v>
      </c>
      <c r="G95" s="65">
        <f>G96</f>
        <v>0</v>
      </c>
      <c r="H95" s="64">
        <f>H96</f>
        <v>0</v>
      </c>
      <c r="I95" s="64">
        <f>I96</f>
        <v>0</v>
      </c>
      <c r="J95" s="44"/>
      <c r="K95" s="227"/>
    </row>
    <row r="96" spans="2:11" s="63" customFormat="1" ht="38.25">
      <c r="B96" s="74"/>
      <c r="C96" s="74"/>
      <c r="D96" s="48">
        <v>6050</v>
      </c>
      <c r="E96" s="49" t="s">
        <v>1204</v>
      </c>
      <c r="F96" s="66">
        <v>0</v>
      </c>
      <c r="G96" s="67"/>
      <c r="H96" s="53">
        <f>F96+G96</f>
        <v>0</v>
      </c>
      <c r="I96" s="53">
        <f>G96+H96</f>
        <v>0</v>
      </c>
      <c r="J96" s="224"/>
      <c r="K96" s="227" t="s">
        <v>803</v>
      </c>
    </row>
    <row r="97" spans="2:11" s="34" customFormat="1" ht="25.5">
      <c r="B97" s="42"/>
      <c r="C97" s="42">
        <v>90015</v>
      </c>
      <c r="D97" s="42"/>
      <c r="E97" s="43" t="s">
        <v>700</v>
      </c>
      <c r="F97" s="44">
        <f>SUM(F98:F98)</f>
        <v>148000</v>
      </c>
      <c r="G97" s="45">
        <f>SUM(G98:G98)</f>
        <v>0</v>
      </c>
      <c r="H97" s="44">
        <f>SUM(H98:H98)</f>
        <v>148000</v>
      </c>
      <c r="I97" s="44">
        <f>SUM(I98:I98)</f>
        <v>91626.83</v>
      </c>
      <c r="J97" s="44">
        <f>I97*100/H97</f>
        <v>61.91002027027027</v>
      </c>
      <c r="K97" s="222"/>
    </row>
    <row r="98" spans="2:11" s="34" customFormat="1" ht="38.25">
      <c r="B98" s="42"/>
      <c r="C98" s="48"/>
      <c r="D98" s="48">
        <v>6050</v>
      </c>
      <c r="E98" s="49" t="s">
        <v>1204</v>
      </c>
      <c r="F98" s="50">
        <v>148000</v>
      </c>
      <c r="G98" s="51"/>
      <c r="H98" s="53">
        <f>F98+G98</f>
        <v>148000</v>
      </c>
      <c r="I98" s="53">
        <v>91626.83</v>
      </c>
      <c r="J98" s="224">
        <f>I98*100/H98</f>
        <v>61.91002027027027</v>
      </c>
      <c r="K98" s="222" t="s">
        <v>804</v>
      </c>
    </row>
    <row r="99" spans="2:11" s="34" customFormat="1" ht="12.75">
      <c r="B99" s="42"/>
      <c r="C99" s="42">
        <v>90095</v>
      </c>
      <c r="D99" s="42"/>
      <c r="E99" s="43" t="s">
        <v>99</v>
      </c>
      <c r="F99" s="44">
        <f>SUM(F100:F100)</f>
        <v>2000</v>
      </c>
      <c r="G99" s="45">
        <f>SUM(G100:G100)</f>
        <v>0</v>
      </c>
      <c r="H99" s="44">
        <f>SUM(H100:H100)</f>
        <v>2000</v>
      </c>
      <c r="I99" s="44">
        <f>SUM(I100:I100)</f>
        <v>854</v>
      </c>
      <c r="J99" s="44">
        <f>I99*100/H99</f>
        <v>42.7</v>
      </c>
      <c r="K99" s="222"/>
    </row>
    <row r="100" spans="2:11" s="34" customFormat="1" ht="57" customHeight="1">
      <c r="B100" s="42"/>
      <c r="C100" s="48"/>
      <c r="D100" s="48">
        <v>6050</v>
      </c>
      <c r="E100" s="49" t="s">
        <v>1204</v>
      </c>
      <c r="F100" s="50">
        <v>2000</v>
      </c>
      <c r="G100" s="51"/>
      <c r="H100" s="53">
        <f>F100+G100</f>
        <v>2000</v>
      </c>
      <c r="I100" s="53">
        <v>854</v>
      </c>
      <c r="J100" s="224">
        <f>I100*100/H100</f>
        <v>42.7</v>
      </c>
      <c r="K100" s="222" t="s">
        <v>683</v>
      </c>
    </row>
    <row r="101" spans="2:11" s="34" customFormat="1" ht="12.75">
      <c r="B101" s="149"/>
      <c r="C101" s="150"/>
      <c r="D101" s="150"/>
      <c r="E101" s="151" t="s">
        <v>1176</v>
      </c>
      <c r="F101" s="153">
        <f>F7+F28+F37+F48+F61+F66+F94+F88+F91</f>
        <v>4685841</v>
      </c>
      <c r="G101" s="668">
        <f>G7+G28+G37+G48+G61+G66+G94+G88+G91</f>
        <v>7051</v>
      </c>
      <c r="H101" s="153">
        <f>H7+H28+H37+H48+H61+H66+H94+H88+H91</f>
        <v>4692892</v>
      </c>
      <c r="I101" s="153">
        <f>I7+I28+I37+I48+I61+I66+I94+I88+I91</f>
        <v>3486986.5100000007</v>
      </c>
      <c r="J101" s="153">
        <f>I101*100/H101</f>
        <v>74.30357464011531</v>
      </c>
      <c r="K101" s="238"/>
    </row>
    <row r="102" spans="6:11" s="34" customFormat="1" ht="12.75">
      <c r="F102" s="54"/>
      <c r="G102" s="83"/>
      <c r="H102" s="54"/>
      <c r="I102" s="54"/>
      <c r="J102" s="54"/>
      <c r="K102" s="239"/>
    </row>
    <row r="103" spans="5:11" s="34" customFormat="1" ht="15.75">
      <c r="E103" s="85"/>
      <c r="F103" s="86"/>
      <c r="G103" s="633"/>
      <c r="H103" s="86"/>
      <c r="I103" s="86"/>
      <c r="J103" s="86"/>
      <c r="K103" s="239"/>
    </row>
    <row r="104" spans="4:11" s="34" customFormat="1" ht="12.75">
      <c r="D104" s="84"/>
      <c r="E104" s="54"/>
      <c r="G104" s="87"/>
      <c r="H104" s="54"/>
      <c r="I104" s="54"/>
      <c r="K104" s="240"/>
    </row>
    <row r="105" spans="7:11" s="34" customFormat="1" ht="12.75">
      <c r="G105" s="87"/>
      <c r="K105" s="240"/>
    </row>
    <row r="106" spans="5:11" s="34" customFormat="1" ht="12.75">
      <c r="E106" s="54"/>
      <c r="F106" s="54"/>
      <c r="G106" s="83"/>
      <c r="H106" s="54"/>
      <c r="I106" s="54"/>
      <c r="J106" s="54"/>
      <c r="K106" s="240"/>
    </row>
    <row r="107" spans="6:11" s="34" customFormat="1" ht="12.75">
      <c r="F107" s="54"/>
      <c r="G107" s="83"/>
      <c r="H107" s="54"/>
      <c r="I107" s="54"/>
      <c r="J107" s="54"/>
      <c r="K107" s="240"/>
    </row>
    <row r="108" spans="6:11" s="34" customFormat="1" ht="12.75">
      <c r="F108" s="54"/>
      <c r="G108" s="83"/>
      <c r="H108" s="54"/>
      <c r="I108" s="54"/>
      <c r="J108" s="54"/>
      <c r="K108" s="240"/>
    </row>
    <row r="109" spans="6:11" s="34" customFormat="1" ht="12.75">
      <c r="F109" s="54"/>
      <c r="G109" s="83"/>
      <c r="H109" s="54"/>
      <c r="I109" s="54"/>
      <c r="J109" s="54"/>
      <c r="K109" s="240"/>
    </row>
    <row r="110" spans="6:11" s="34" customFormat="1" ht="12.75">
      <c r="F110" s="54"/>
      <c r="G110" s="83"/>
      <c r="H110" s="54"/>
      <c r="I110" s="54"/>
      <c r="J110" s="54"/>
      <c r="K110" s="240"/>
    </row>
    <row r="111" spans="6:11" s="34" customFormat="1" ht="12.75">
      <c r="F111" s="54"/>
      <c r="G111" s="83"/>
      <c r="H111" s="54"/>
      <c r="I111" s="54"/>
      <c r="J111" s="54"/>
      <c r="K111" s="240"/>
    </row>
    <row r="112" spans="6:11" s="34" customFormat="1" ht="12.75">
      <c r="F112" s="54"/>
      <c r="G112" s="83"/>
      <c r="H112" s="54"/>
      <c r="I112" s="54"/>
      <c r="J112" s="54"/>
      <c r="K112" s="240"/>
    </row>
    <row r="113" spans="6:11" s="34" customFormat="1" ht="12.75">
      <c r="F113" s="54"/>
      <c r="G113" s="83"/>
      <c r="H113" s="54"/>
      <c r="I113" s="54"/>
      <c r="J113" s="54"/>
      <c r="K113" s="240"/>
    </row>
    <row r="114" spans="7:11" s="34" customFormat="1" ht="12.75">
      <c r="G114" s="87"/>
      <c r="K114" s="240"/>
    </row>
    <row r="115" spans="7:11" s="34" customFormat="1" ht="12.75">
      <c r="G115" s="87"/>
      <c r="K115" s="240"/>
    </row>
  </sheetData>
  <mergeCells count="12">
    <mergeCell ref="F3:F4"/>
    <mergeCell ref="G3:G4"/>
    <mergeCell ref="H3:H4"/>
    <mergeCell ref="K3:K4"/>
    <mergeCell ref="B3:B4"/>
    <mergeCell ref="C3:C4"/>
    <mergeCell ref="D3:D4"/>
    <mergeCell ref="E3:E4"/>
    <mergeCell ref="K31:K32"/>
    <mergeCell ref="I3:I4"/>
    <mergeCell ref="J3:J4"/>
    <mergeCell ref="K1:K2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2:K42"/>
  <sheetViews>
    <sheetView workbookViewId="0" topLeftCell="A32">
      <selection activeCell="B2" sqref="B2:K42"/>
    </sheetView>
  </sheetViews>
  <sheetFormatPr defaultColWidth="9.140625" defaultRowHeight="12.75"/>
  <cols>
    <col min="1" max="1" width="9.140625" style="650" customWidth="1"/>
    <col min="2" max="2" width="11.57421875" style="650" customWidth="1"/>
    <col min="3" max="3" width="13.8515625" style="650" customWidth="1"/>
    <col min="4" max="4" width="13.140625" style="650" customWidth="1"/>
    <col min="5" max="5" width="12.140625" style="650" customWidth="1"/>
    <col min="6" max="6" width="12.8515625" style="650" customWidth="1"/>
    <col min="7" max="7" width="9.7109375" style="650" customWidth="1"/>
    <col min="8" max="8" width="15.421875" style="650" customWidth="1"/>
    <col min="9" max="9" width="8.421875" style="650" customWidth="1"/>
    <col min="10" max="10" width="7.421875" style="650" customWidth="1"/>
    <col min="11" max="11" width="7.140625" style="650" customWidth="1"/>
    <col min="12" max="16384" width="9.140625" style="650" customWidth="1"/>
  </cols>
  <sheetData>
    <row r="2" spans="1:11" ht="18.75">
      <c r="A2" s="649"/>
      <c r="B2" s="799" t="s">
        <v>726</v>
      </c>
      <c r="C2" s="799"/>
      <c r="D2" s="799"/>
      <c r="E2" s="799"/>
      <c r="F2" s="799"/>
      <c r="G2" s="799"/>
      <c r="H2" s="799"/>
      <c r="I2" s="799"/>
      <c r="J2" s="799"/>
      <c r="K2" s="799"/>
    </row>
    <row r="3" ht="18.75">
      <c r="B3" s="651"/>
    </row>
    <row r="4" spans="2:11" s="289" customFormat="1" ht="61.5" customHeight="1">
      <c r="B4" s="798" t="s">
        <v>728</v>
      </c>
      <c r="C4" s="798"/>
      <c r="D4" s="798"/>
      <c r="E4" s="798"/>
      <c r="F4" s="798"/>
      <c r="G4" s="798"/>
      <c r="H4" s="798"/>
      <c r="I4" s="798"/>
      <c r="J4" s="798"/>
      <c r="K4" s="798"/>
    </row>
    <row r="5" spans="2:11" s="289" customFormat="1" ht="18.75">
      <c r="B5" s="798" t="s">
        <v>729</v>
      </c>
      <c r="C5" s="798"/>
      <c r="D5" s="798"/>
      <c r="E5" s="798"/>
      <c r="F5" s="798"/>
      <c r="G5" s="798"/>
      <c r="H5" s="798"/>
      <c r="I5" s="798"/>
      <c r="J5" s="798"/>
      <c r="K5" s="798"/>
    </row>
    <row r="6" spans="2:11" s="289" customFormat="1" ht="18.75">
      <c r="B6" s="798" t="s">
        <v>816</v>
      </c>
      <c r="C6" s="798"/>
      <c r="D6" s="798"/>
      <c r="E6" s="798"/>
      <c r="F6" s="798"/>
      <c r="G6" s="798"/>
      <c r="H6" s="798"/>
      <c r="I6" s="798"/>
      <c r="J6" s="798"/>
      <c r="K6" s="798"/>
    </row>
    <row r="7" spans="2:11" s="289" customFormat="1" ht="18.75">
      <c r="B7" s="798" t="s">
        <v>817</v>
      </c>
      <c r="C7" s="798"/>
      <c r="D7" s="798"/>
      <c r="E7" s="798"/>
      <c r="F7" s="798"/>
      <c r="G7" s="798"/>
      <c r="H7" s="798"/>
      <c r="I7" s="798"/>
      <c r="J7" s="798"/>
      <c r="K7" s="798"/>
    </row>
    <row r="8" spans="2:11" s="289" customFormat="1" ht="18.75">
      <c r="B8" s="798" t="s">
        <v>818</v>
      </c>
      <c r="C8" s="798"/>
      <c r="D8" s="798"/>
      <c r="E8" s="798"/>
      <c r="F8" s="798"/>
      <c r="G8" s="798"/>
      <c r="H8" s="798"/>
      <c r="I8" s="798"/>
      <c r="J8" s="798"/>
      <c r="K8" s="798"/>
    </row>
    <row r="9" spans="2:11" s="289" customFormat="1" ht="18.75">
      <c r="B9" s="798" t="s">
        <v>819</v>
      </c>
      <c r="C9" s="798"/>
      <c r="D9" s="798"/>
      <c r="E9" s="798"/>
      <c r="F9" s="798"/>
      <c r="G9" s="798"/>
      <c r="H9" s="798"/>
      <c r="I9" s="798"/>
      <c r="J9" s="798"/>
      <c r="K9" s="798"/>
    </row>
    <row r="10" spans="2:11" s="289" customFormat="1" ht="18.75">
      <c r="B10" s="798" t="s">
        <v>820</v>
      </c>
      <c r="C10" s="798"/>
      <c r="D10" s="798"/>
      <c r="E10" s="798"/>
      <c r="F10" s="798"/>
      <c r="G10" s="798"/>
      <c r="H10" s="798"/>
      <c r="I10" s="798"/>
      <c r="J10" s="798"/>
      <c r="K10" s="798"/>
    </row>
    <row r="11" spans="2:11" s="289" customFormat="1" ht="18.75">
      <c r="B11" s="798" t="s">
        <v>821</v>
      </c>
      <c r="C11" s="798"/>
      <c r="D11" s="798"/>
      <c r="E11" s="798"/>
      <c r="F11" s="798"/>
      <c r="G11" s="798"/>
      <c r="H11" s="798"/>
      <c r="I11" s="798"/>
      <c r="J11" s="798"/>
      <c r="K11" s="798"/>
    </row>
    <row r="12" spans="2:11" s="289" customFormat="1" ht="21" customHeight="1">
      <c r="B12" s="798" t="s">
        <v>822</v>
      </c>
      <c r="C12" s="798"/>
      <c r="D12" s="798"/>
      <c r="E12" s="798"/>
      <c r="F12" s="798"/>
      <c r="G12" s="798"/>
      <c r="H12" s="798"/>
      <c r="I12" s="798"/>
      <c r="J12" s="798"/>
      <c r="K12" s="798"/>
    </row>
    <row r="13" spans="2:11" s="289" customFormat="1" ht="24" customHeight="1">
      <c r="B13" s="798" t="s">
        <v>823</v>
      </c>
      <c r="C13" s="798"/>
      <c r="D13" s="798"/>
      <c r="E13" s="798"/>
      <c r="F13" s="798"/>
      <c r="G13" s="798"/>
      <c r="H13" s="798"/>
      <c r="I13" s="798"/>
      <c r="J13" s="798"/>
      <c r="K13" s="798"/>
    </row>
    <row r="14" spans="2:11" s="289" customFormat="1" ht="24" customHeight="1">
      <c r="B14" s="798" t="s">
        <v>824</v>
      </c>
      <c r="C14" s="798"/>
      <c r="D14" s="798"/>
      <c r="E14" s="798"/>
      <c r="F14" s="798"/>
      <c r="G14" s="798"/>
      <c r="H14" s="798"/>
      <c r="I14" s="798"/>
      <c r="J14" s="798"/>
      <c r="K14" s="798"/>
    </row>
    <row r="15" spans="2:11" s="289" customFormat="1" ht="27" customHeight="1">
      <c r="B15" s="798" t="s">
        <v>825</v>
      </c>
      <c r="C15" s="798"/>
      <c r="D15" s="798"/>
      <c r="E15" s="798"/>
      <c r="F15" s="798"/>
      <c r="G15" s="798"/>
      <c r="H15" s="798"/>
      <c r="I15" s="798"/>
      <c r="J15" s="798"/>
      <c r="K15" s="798"/>
    </row>
    <row r="16" spans="2:11" s="289" customFormat="1" ht="18.75">
      <c r="B16" s="798" t="s">
        <v>730</v>
      </c>
      <c r="C16" s="798"/>
      <c r="D16" s="798"/>
      <c r="E16" s="798"/>
      <c r="F16" s="798"/>
      <c r="G16" s="798"/>
      <c r="H16" s="798"/>
      <c r="I16" s="798"/>
      <c r="J16" s="798"/>
      <c r="K16" s="798"/>
    </row>
    <row r="17" spans="2:11" s="289" customFormat="1" ht="22.5" customHeight="1">
      <c r="B17" s="798" t="s">
        <v>727</v>
      </c>
      <c r="C17" s="798"/>
      <c r="D17" s="798"/>
      <c r="E17" s="798"/>
      <c r="F17" s="798"/>
      <c r="G17" s="798"/>
      <c r="H17" s="798"/>
      <c r="I17" s="798"/>
      <c r="J17" s="798"/>
      <c r="K17" s="798"/>
    </row>
    <row r="18" spans="2:11" s="289" customFormat="1" ht="18.75">
      <c r="B18" s="798" t="s">
        <v>731</v>
      </c>
      <c r="C18" s="798"/>
      <c r="D18" s="798"/>
      <c r="E18" s="798"/>
      <c r="F18" s="798"/>
      <c r="G18" s="798"/>
      <c r="H18" s="798"/>
      <c r="I18" s="798"/>
      <c r="J18" s="798"/>
      <c r="K18" s="798"/>
    </row>
    <row r="19" spans="2:11" s="289" customFormat="1" ht="18.75">
      <c r="B19" s="798" t="s">
        <v>732</v>
      </c>
      <c r="C19" s="798"/>
      <c r="D19" s="798"/>
      <c r="E19" s="798"/>
      <c r="F19" s="798"/>
      <c r="G19" s="798"/>
      <c r="H19" s="798"/>
      <c r="I19" s="798"/>
      <c r="J19" s="798"/>
      <c r="K19" s="798"/>
    </row>
    <row r="20" spans="2:11" s="289" customFormat="1" ht="18.75">
      <c r="B20" s="798" t="s">
        <v>733</v>
      </c>
      <c r="C20" s="798"/>
      <c r="D20" s="798"/>
      <c r="E20" s="798"/>
      <c r="F20" s="798"/>
      <c r="G20" s="798"/>
      <c r="H20" s="798"/>
      <c r="I20" s="798"/>
      <c r="J20" s="798"/>
      <c r="K20" s="798"/>
    </row>
    <row r="21" spans="2:11" s="289" customFormat="1" ht="24.75" customHeight="1">
      <c r="B21" s="798" t="s">
        <v>734</v>
      </c>
      <c r="C21" s="798"/>
      <c r="D21" s="798"/>
      <c r="E21" s="798"/>
      <c r="F21" s="798"/>
      <c r="G21" s="798"/>
      <c r="H21" s="798"/>
      <c r="I21" s="798"/>
      <c r="J21" s="798"/>
      <c r="K21" s="798"/>
    </row>
    <row r="22" spans="2:11" s="289" customFormat="1" ht="25.5" customHeight="1">
      <c r="B22" s="798" t="s">
        <v>735</v>
      </c>
      <c r="C22" s="798"/>
      <c r="D22" s="798"/>
      <c r="E22" s="798"/>
      <c r="F22" s="798"/>
      <c r="G22" s="798"/>
      <c r="H22" s="798"/>
      <c r="I22" s="798"/>
      <c r="J22" s="798"/>
      <c r="K22" s="798"/>
    </row>
    <row r="23" spans="2:11" s="289" customFormat="1" ht="43.5" customHeight="1">
      <c r="B23" s="798" t="s">
        <v>826</v>
      </c>
      <c r="C23" s="798"/>
      <c r="D23" s="798"/>
      <c r="E23" s="798"/>
      <c r="F23" s="798"/>
      <c r="G23" s="798"/>
      <c r="H23" s="798"/>
      <c r="I23" s="798"/>
      <c r="J23" s="798"/>
      <c r="K23" s="798"/>
    </row>
    <row r="24" spans="2:11" s="289" customFormat="1" ht="40.5" customHeight="1">
      <c r="B24" s="798" t="s">
        <v>827</v>
      </c>
      <c r="C24" s="798"/>
      <c r="D24" s="798"/>
      <c r="E24" s="798"/>
      <c r="F24" s="798"/>
      <c r="G24" s="798"/>
      <c r="H24" s="798"/>
      <c r="I24" s="798"/>
      <c r="J24" s="798"/>
      <c r="K24" s="798"/>
    </row>
    <row r="25" spans="2:11" s="289" customFormat="1" ht="24.75" customHeight="1">
      <c r="B25" s="798" t="s">
        <v>828</v>
      </c>
      <c r="C25" s="798"/>
      <c r="D25" s="798"/>
      <c r="E25" s="798"/>
      <c r="F25" s="798"/>
      <c r="G25" s="798"/>
      <c r="H25" s="798"/>
      <c r="I25" s="798"/>
      <c r="J25" s="798"/>
      <c r="K25" s="798"/>
    </row>
    <row r="26" spans="2:11" s="289" customFormat="1" ht="78.75" customHeight="1">
      <c r="B26" s="798" t="s">
        <v>830</v>
      </c>
      <c r="C26" s="798"/>
      <c r="D26" s="798"/>
      <c r="E26" s="798"/>
      <c r="F26" s="798"/>
      <c r="G26" s="798"/>
      <c r="H26" s="798"/>
      <c r="I26" s="798"/>
      <c r="J26" s="798"/>
      <c r="K26" s="798"/>
    </row>
    <row r="27" spans="2:11" s="289" customFormat="1" ht="82.5" customHeight="1">
      <c r="B27" s="798" t="s">
        <v>770</v>
      </c>
      <c r="C27" s="798"/>
      <c r="D27" s="798"/>
      <c r="E27" s="798"/>
      <c r="F27" s="798"/>
      <c r="G27" s="798"/>
      <c r="H27" s="798"/>
      <c r="I27" s="798"/>
      <c r="J27" s="798"/>
      <c r="K27" s="798"/>
    </row>
    <row r="28" spans="2:11" s="289" customFormat="1" ht="135" customHeight="1">
      <c r="B28" s="798" t="s">
        <v>771</v>
      </c>
      <c r="C28" s="798"/>
      <c r="D28" s="798"/>
      <c r="E28" s="798"/>
      <c r="F28" s="798"/>
      <c r="G28" s="798"/>
      <c r="H28" s="798"/>
      <c r="I28" s="798"/>
      <c r="J28" s="798"/>
      <c r="K28" s="798"/>
    </row>
    <row r="29" spans="2:11" s="289" customFormat="1" ht="61.5" customHeight="1">
      <c r="B29" s="798" t="s">
        <v>782</v>
      </c>
      <c r="C29" s="798"/>
      <c r="D29" s="798"/>
      <c r="E29" s="798"/>
      <c r="F29" s="798"/>
      <c r="G29" s="798"/>
      <c r="H29" s="798"/>
      <c r="I29" s="798"/>
      <c r="J29" s="798"/>
      <c r="K29" s="798"/>
    </row>
    <row r="30" spans="2:11" s="289" customFormat="1" ht="49.5" customHeight="1">
      <c r="B30" s="798" t="s">
        <v>772</v>
      </c>
      <c r="C30" s="798"/>
      <c r="D30" s="798"/>
      <c r="E30" s="798"/>
      <c r="F30" s="798"/>
      <c r="G30" s="798"/>
      <c r="H30" s="798"/>
      <c r="I30" s="798"/>
      <c r="J30" s="798"/>
      <c r="K30" s="798"/>
    </row>
    <row r="31" spans="2:11" s="289" customFormat="1" ht="18.75">
      <c r="B31" s="798" t="s">
        <v>773</v>
      </c>
      <c r="C31" s="798"/>
      <c r="D31" s="798"/>
      <c r="E31" s="798"/>
      <c r="F31" s="798"/>
      <c r="G31" s="798"/>
      <c r="H31" s="798"/>
      <c r="I31" s="798"/>
      <c r="J31" s="798"/>
      <c r="K31" s="798"/>
    </row>
    <row r="32" spans="2:11" s="289" customFormat="1" ht="39.75" customHeight="1">
      <c r="B32" s="798" t="s">
        <v>774</v>
      </c>
      <c r="C32" s="798"/>
      <c r="D32" s="798"/>
      <c r="E32" s="798"/>
      <c r="F32" s="798"/>
      <c r="G32" s="798"/>
      <c r="H32" s="798"/>
      <c r="I32" s="798"/>
      <c r="J32" s="798"/>
      <c r="K32" s="798"/>
    </row>
    <row r="33" spans="2:11" s="289" customFormat="1" ht="60.75" customHeight="1">
      <c r="B33" s="798" t="s">
        <v>598</v>
      </c>
      <c r="C33" s="798"/>
      <c r="D33" s="798"/>
      <c r="E33" s="798"/>
      <c r="F33" s="798"/>
      <c r="G33" s="798"/>
      <c r="H33" s="798"/>
      <c r="I33" s="798"/>
      <c r="J33" s="798"/>
      <c r="K33" s="798"/>
    </row>
    <row r="34" spans="2:11" s="289" customFormat="1" ht="41.25" customHeight="1">
      <c r="B34" s="798" t="s">
        <v>775</v>
      </c>
      <c r="C34" s="798"/>
      <c r="D34" s="798"/>
      <c r="E34" s="798"/>
      <c r="F34" s="798"/>
      <c r="G34" s="798"/>
      <c r="H34" s="798"/>
      <c r="I34" s="798"/>
      <c r="J34" s="798"/>
      <c r="K34" s="798"/>
    </row>
    <row r="35" spans="2:11" s="289" customFormat="1" ht="47.25" customHeight="1">
      <c r="B35" s="798" t="s">
        <v>829</v>
      </c>
      <c r="C35" s="798"/>
      <c r="D35" s="798"/>
      <c r="E35" s="798"/>
      <c r="F35" s="798"/>
      <c r="G35" s="798"/>
      <c r="H35" s="798"/>
      <c r="I35" s="798"/>
      <c r="J35" s="798"/>
      <c r="K35" s="798"/>
    </row>
    <row r="36" spans="2:11" s="289" customFormat="1" ht="42" customHeight="1">
      <c r="B36" s="798" t="s">
        <v>776</v>
      </c>
      <c r="C36" s="798"/>
      <c r="D36" s="798"/>
      <c r="E36" s="798"/>
      <c r="F36" s="798"/>
      <c r="G36" s="798"/>
      <c r="H36" s="798"/>
      <c r="I36" s="798"/>
      <c r="J36" s="798"/>
      <c r="K36" s="798"/>
    </row>
    <row r="37" spans="2:11" s="289" customFormat="1" ht="39" customHeight="1">
      <c r="B37" s="798" t="s">
        <v>777</v>
      </c>
      <c r="C37" s="798"/>
      <c r="D37" s="798"/>
      <c r="E37" s="798"/>
      <c r="F37" s="798"/>
      <c r="G37" s="798"/>
      <c r="H37" s="798"/>
      <c r="I37" s="798"/>
      <c r="J37" s="798"/>
      <c r="K37" s="798"/>
    </row>
    <row r="38" spans="2:11" s="289" customFormat="1" ht="43.5" customHeight="1">
      <c r="B38" s="798" t="s">
        <v>778</v>
      </c>
      <c r="C38" s="798"/>
      <c r="D38" s="798"/>
      <c r="E38" s="798"/>
      <c r="F38" s="798"/>
      <c r="G38" s="798"/>
      <c r="H38" s="798"/>
      <c r="I38" s="798"/>
      <c r="J38" s="798"/>
      <c r="K38" s="798"/>
    </row>
    <row r="39" spans="2:11" s="289" customFormat="1" ht="47.25" customHeight="1">
      <c r="B39" s="798" t="s">
        <v>779</v>
      </c>
      <c r="C39" s="798"/>
      <c r="D39" s="798"/>
      <c r="E39" s="798"/>
      <c r="F39" s="798"/>
      <c r="G39" s="798"/>
      <c r="H39" s="798"/>
      <c r="I39" s="798"/>
      <c r="J39" s="798"/>
      <c r="K39" s="798"/>
    </row>
    <row r="40" spans="2:11" s="289" customFormat="1" ht="60.75" customHeight="1">
      <c r="B40" s="798" t="s">
        <v>780</v>
      </c>
      <c r="C40" s="798"/>
      <c r="D40" s="798"/>
      <c r="E40" s="798"/>
      <c r="F40" s="798"/>
      <c r="G40" s="798"/>
      <c r="H40" s="798"/>
      <c r="I40" s="798"/>
      <c r="J40" s="798"/>
      <c r="K40" s="798"/>
    </row>
    <row r="41" spans="2:11" s="652" customFormat="1" ht="42.75" customHeight="1">
      <c r="B41" s="797" t="s">
        <v>781</v>
      </c>
      <c r="C41" s="797"/>
      <c r="D41" s="797"/>
      <c r="E41" s="797"/>
      <c r="F41" s="797"/>
      <c r="G41" s="797"/>
      <c r="H41" s="797"/>
      <c r="I41" s="797"/>
      <c r="J41" s="797"/>
      <c r="K41" s="797"/>
    </row>
    <row r="42" spans="2:11" s="289" customFormat="1" ht="37.5" customHeight="1">
      <c r="B42" s="798" t="s">
        <v>815</v>
      </c>
      <c r="C42" s="798"/>
      <c r="D42" s="798"/>
      <c r="E42" s="798"/>
      <c r="F42" s="798"/>
      <c r="G42" s="798"/>
      <c r="H42" s="798"/>
      <c r="I42" s="798"/>
      <c r="J42" s="798"/>
      <c r="K42" s="798"/>
    </row>
    <row r="43" s="653" customFormat="1" ht="18.75"/>
    <row r="44" s="653" customFormat="1" ht="18.75"/>
    <row r="45" s="653" customFormat="1" ht="18.75"/>
    <row r="46" s="653" customFormat="1" ht="18.75"/>
    <row r="47" s="653" customFormat="1" ht="18.75"/>
    <row r="48" s="653" customFormat="1" ht="18.75"/>
    <row r="49" s="653" customFormat="1" ht="18.75"/>
    <row r="50" s="653" customFormat="1" ht="18.75"/>
    <row r="51" s="653" customFormat="1" ht="18.75"/>
    <row r="52" s="653" customFormat="1" ht="18.75"/>
    <row r="53" s="653" customFormat="1" ht="18.75"/>
    <row r="54" s="653" customFormat="1" ht="18.75"/>
    <row r="55" s="653" customFormat="1" ht="18.75"/>
    <row r="56" s="653" customFormat="1" ht="18.75"/>
    <row r="57" s="653" customFormat="1" ht="18.75"/>
    <row r="58" s="653" customFormat="1" ht="18.75"/>
    <row r="59" s="653" customFormat="1" ht="18.75"/>
    <row r="60" s="653" customFormat="1" ht="18.75"/>
    <row r="61" s="653" customFormat="1" ht="18.75"/>
    <row r="62" s="653" customFormat="1" ht="18.75"/>
    <row r="63" s="653" customFormat="1" ht="18.75"/>
    <row r="64" s="653" customFormat="1" ht="18.75"/>
    <row r="65" s="653" customFormat="1" ht="18.75"/>
    <row r="66" s="653" customFormat="1" ht="18.75"/>
    <row r="67" s="653" customFormat="1" ht="18.75"/>
    <row r="68" s="653" customFormat="1" ht="18.75"/>
    <row r="69" s="653" customFormat="1" ht="18.75"/>
    <row r="70" s="653" customFormat="1" ht="18.75"/>
    <row r="71" s="653" customFormat="1" ht="18.75"/>
    <row r="72" s="653" customFormat="1" ht="18.75"/>
    <row r="73" s="653" customFormat="1" ht="18.75"/>
    <row r="74" s="653" customFormat="1" ht="18.75"/>
    <row r="75" s="653" customFormat="1" ht="18.75"/>
    <row r="76" s="653" customFormat="1" ht="18.75"/>
    <row r="77" s="653" customFormat="1" ht="18.75"/>
    <row r="78" s="653" customFormat="1" ht="18.75"/>
    <row r="79" s="653" customFormat="1" ht="18.75"/>
    <row r="80" s="653" customFormat="1" ht="18.75"/>
    <row r="81" s="653" customFormat="1" ht="18.75"/>
    <row r="82" s="653" customFormat="1" ht="18.75"/>
    <row r="83" s="653" customFormat="1" ht="18.75"/>
    <row r="84" s="653" customFormat="1" ht="18.75"/>
    <row r="85" s="653" customFormat="1" ht="18.75"/>
    <row r="86" s="653" customFormat="1" ht="18.75"/>
    <row r="87" s="653" customFormat="1" ht="18.75"/>
    <row r="88" s="653" customFormat="1" ht="18.75"/>
    <row r="89" s="653" customFormat="1" ht="18.75"/>
    <row r="90" s="653" customFormat="1" ht="18.75"/>
    <row r="91" s="653" customFormat="1" ht="18.75"/>
    <row r="92" s="653" customFormat="1" ht="18.75"/>
    <row r="93" s="653" customFormat="1" ht="18.75"/>
  </sheetData>
  <mergeCells count="40">
    <mergeCell ref="B2:K2"/>
    <mergeCell ref="B4:K4"/>
    <mergeCell ref="B5:K5"/>
    <mergeCell ref="B6:K6"/>
    <mergeCell ref="B7:K7"/>
    <mergeCell ref="B8:K8"/>
    <mergeCell ref="B9:K9"/>
    <mergeCell ref="B10:K10"/>
    <mergeCell ref="B15:K15"/>
    <mergeCell ref="B16:K16"/>
    <mergeCell ref="B17:K17"/>
    <mergeCell ref="B11:K11"/>
    <mergeCell ref="B12:K12"/>
    <mergeCell ref="B13:K13"/>
    <mergeCell ref="B14:K14"/>
    <mergeCell ref="B18:K18"/>
    <mergeCell ref="B19:K19"/>
    <mergeCell ref="B20:K20"/>
    <mergeCell ref="B21:K21"/>
    <mergeCell ref="B26:K26"/>
    <mergeCell ref="B27:K27"/>
    <mergeCell ref="B22:K22"/>
    <mergeCell ref="B23:K23"/>
    <mergeCell ref="B24:K24"/>
    <mergeCell ref="B25:K25"/>
    <mergeCell ref="B30:K30"/>
    <mergeCell ref="B31:K31"/>
    <mergeCell ref="B32:K32"/>
    <mergeCell ref="B28:K28"/>
    <mergeCell ref="B29:K29"/>
    <mergeCell ref="B33:K33"/>
    <mergeCell ref="B34:K34"/>
    <mergeCell ref="B35:K35"/>
    <mergeCell ref="B36:K36"/>
    <mergeCell ref="B41:K41"/>
    <mergeCell ref="B42:K42"/>
    <mergeCell ref="B37:K37"/>
    <mergeCell ref="B38:K38"/>
    <mergeCell ref="B39:K39"/>
    <mergeCell ref="B40:K40"/>
  </mergeCells>
  <printOptions horizontalCentered="1"/>
  <pageMargins left="0.17" right="0.15748031496062992" top="0.48" bottom="0.15748031496062992" header="0.51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Kaźmierz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Małgorzta Jaworska</dc:creator>
  <cp:keywords/>
  <dc:description/>
  <cp:lastModifiedBy>Małgorzta Jaworska</cp:lastModifiedBy>
  <cp:lastPrinted>2008-03-13T08:10:28Z</cp:lastPrinted>
  <dcterms:created xsi:type="dcterms:W3CDTF">2007-07-27T08:44:23Z</dcterms:created>
  <dcterms:modified xsi:type="dcterms:W3CDTF">2008-04-30T07:30:55Z</dcterms:modified>
  <cp:category/>
  <cp:version/>
  <cp:contentType/>
  <cp:contentStatus/>
</cp:coreProperties>
</file>