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Zał.nr 1" sheetId="1" r:id="rId1"/>
    <sheet name="Zał.nr 2" sheetId="2" r:id="rId2"/>
    <sheet name="Zał.nr 3" sheetId="3" r:id="rId3"/>
    <sheet name="Zał.nr 4" sheetId="4" r:id="rId4"/>
    <sheet name="Zał.nr 5" sheetId="5" r:id="rId5"/>
    <sheet name="Zał.nr 6" sheetId="6" r:id="rId6"/>
  </sheets>
  <definedNames/>
  <calcPr fullCalcOnLoad="1"/>
</workbook>
</file>

<file path=xl/sharedStrings.xml><?xml version="1.0" encoding="utf-8"?>
<sst xmlns="http://schemas.openxmlformats.org/spreadsheetml/2006/main" count="857" uniqueCount="385">
  <si>
    <t>Dz</t>
  </si>
  <si>
    <t>Rozdz</t>
  </si>
  <si>
    <t>§</t>
  </si>
  <si>
    <t>Treść</t>
  </si>
  <si>
    <t xml:space="preserve">Plan dochodów budżetowych na 2007r.               </t>
  </si>
  <si>
    <t>Zmiany</t>
  </si>
  <si>
    <t>Dochody po zmianach</t>
  </si>
  <si>
    <t>Uzasadnienie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</si>
  <si>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</si>
  <si>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</si>
  <si>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</si>
  <si>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</si>
  <si>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</si>
  <si>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</si>
  <si>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</si>
  <si>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</si>
  <si>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</si>
  <si>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</si>
  <si>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</si>
  <si>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</si>
  <si>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</si>
  <si>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</si>
  <si>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</si>
  <si>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WYDATKI GMINY KAŹMIERZ W 2007r.</t>
  </si>
  <si>
    <t>Rozdz.</t>
  </si>
  <si>
    <t>PROJEKT</t>
  </si>
  <si>
    <t>Wydatki po zmianach</t>
  </si>
  <si>
    <t>010</t>
  </si>
  <si>
    <t>Rolnictwo i łowiectwo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</si>
  <si>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</si>
  <si>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</si>
  <si>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</si>
  <si>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</si>
  <si>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</si>
  <si>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</si>
  <si>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</si>
  <si>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</si>
  <si>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</si>
  <si>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</si>
  <si>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</si>
  <si>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</si>
  <si>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</si>
  <si>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</si>
  <si>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</si>
  <si>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</si>
  <si>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</si>
  <si>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</si>
  <si>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</si>
  <si>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</si>
  <si>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</si>
  <si>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</si>
  <si>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</si>
  <si>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</si>
  <si>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</si>
  <si>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</si>
  <si>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</si>
  <si>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</si>
  <si>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</si>
  <si>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</si>
  <si>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</si>
  <si>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</si>
  <si>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</si>
  <si>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</si>
  <si>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</si>
  <si>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</si>
  <si>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</si>
  <si>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Zespoły ekonomiczno-administracyjne szkół</t>
  </si>
  <si>
    <t>Gospodarka ściekowa i ochrona wód</t>
  </si>
  <si>
    <t>Oświetlenie ulic, placów i dróg</t>
  </si>
  <si>
    <t>OGÓŁEM</t>
  </si>
  <si>
    <t>WYDATKI MAJĄTKOWE GMINY KAŹMIERZ W 2007r.</t>
  </si>
  <si>
    <t xml:space="preserve">Plan wydatków majątkowych na 2007 r. </t>
  </si>
  <si>
    <t>Plan wydatków majątkowych na 2007 r. po zmianach</t>
  </si>
  <si>
    <t>Plan zgłoszony przez Wydziały UG i Jednostki organmizacyjne</t>
  </si>
  <si>
    <t>Budowa sieci wodociągowej w m.K-rz ul.Polna-Reja</t>
  </si>
  <si>
    <t>Budowa sieci wodociągowej w m.Kopanina</t>
  </si>
  <si>
    <t>Budowa sieci wodociągowej w m.Radzyny ul.Leśna</t>
  </si>
  <si>
    <t>Budowa sieci wodociągowej w m.K-rz ul.Jabłoniowa</t>
  </si>
  <si>
    <t>Budowa sieci wodociągowej w m.K-rz ul.Poznańska</t>
  </si>
  <si>
    <t>Budowa sieci wodociągowej w m.K-rz ul.Konopnickiej-Dolna</t>
  </si>
  <si>
    <t>Budowa sieci wodociągowej w m.Komorowo</t>
  </si>
  <si>
    <t>Budowa sieci wodociągowej w m.Radzyny rej.ul.Krańcowej I,II,III</t>
  </si>
  <si>
    <t>Modernizacja SUW w m.Gaj Wielki</t>
  </si>
  <si>
    <t>Budowa sieci wodociągowej w m.Bytyń - Tartak</t>
  </si>
  <si>
    <t>Budowa sieci wodociągowej w m.Radzyny - Chrusty</t>
  </si>
  <si>
    <t>Budowa kanalizacji sanitarnej w m.Piersko</t>
  </si>
  <si>
    <t>Budowa sieci kanalizacji sanitarnej-układ Kaźmierz-Kiączyn</t>
  </si>
  <si>
    <t>Budowa kanalizacji sanitarnej w m.K-rz ul.Konopnickiej-Dolna</t>
  </si>
  <si>
    <t>Budowa kanalizacji sanitarnej w m.K-rz ul.Poznańska-Dolna</t>
  </si>
  <si>
    <t>Pomoc finansowa dla Powiatu Szamotulskiego na zadanie p.n. "Przebudowa drogi powiatowej nr 1860P Otorowo-Bytyń w Bytyniu o dł.ok.400m"</t>
  </si>
  <si>
    <t>Budowa drogi dojazdowej do gruntów rolnych Gaj Wielki - Stramnica</t>
  </si>
  <si>
    <t>Budowa chodnika w m. K-rz ul.Dworcowa</t>
  </si>
  <si>
    <t>Budowa chodnika przy ul.Reja w Kaźmierzu wraz z odprowadzeniem wód opadowych</t>
  </si>
  <si>
    <t>Budowa drogi przy osiedlu w m.Kaźmierz rej.ul.Nowowiejskiej</t>
  </si>
  <si>
    <t>Zakup agregatu prądotwórczego  do stacji uzdatniania wody w m.Piersko</t>
  </si>
  <si>
    <t>Przebudowa płyty Rynku w Kaźmierzu</t>
  </si>
  <si>
    <t>Wykup działek</t>
  </si>
  <si>
    <t>Wykup dróg</t>
  </si>
  <si>
    <t>Infrastruktura obiegu dokumentów</t>
  </si>
  <si>
    <t xml:space="preserve">Zakup sprzętu komputerowego </t>
  </si>
  <si>
    <t>Budowa świetlicy wiejskiej w Kiączynie</t>
  </si>
  <si>
    <t>Wykup nieruchomości zabudowanej położonej w m.Młodasko na dz.nr 92/1 z przeznaczeniem na świetlicę wiejską.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</si>
  <si>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</si>
  <si>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</si>
  <si>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</si>
  <si>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</si>
  <si>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Zakup zestawu komputerowego</t>
  </si>
  <si>
    <t>Zakup drukarki</t>
  </si>
  <si>
    <t>Zakup wózka na mopy</t>
  </si>
  <si>
    <t>Ochrona zdrowia</t>
  </si>
  <si>
    <t>Przeciwdziałanie alkoholizmowi</t>
  </si>
  <si>
    <t>Wpłaty jednostek na fundusz celowy na finansowanie lub dofinansowanie zadań inwestycyjnych</t>
  </si>
  <si>
    <t>Przeniesienie do działu 010-01010-6050</t>
  </si>
  <si>
    <r>
      <t>Oświetlenie dróg osiedlowych na terenie gminy Kaźmierz: K-rz ul.Nowowiejska</t>
    </r>
  </si>
  <si>
    <t>Budowa sieci gazowej na terenie gminy.</t>
  </si>
  <si>
    <t>Zakup mikrobusa.</t>
  </si>
  <si>
    <t>Zakup ciągnika</t>
  </si>
  <si>
    <t>Modernizacja obejścia i rozbudowa wejścia  budynku Urzędu Gminy w Kaźmierzu z uwzględnieniem podjazdu dla osób niepełnosprawnych.</t>
  </si>
  <si>
    <t>Budowa ogrodzenia budynku Przedszkola w Kaźmierzu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</si>
  <si>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</si>
  <si>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</si>
  <si>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</si>
  <si>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</si>
  <si>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</si>
  <si>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</si>
  <si>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</si>
  <si>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</si>
  <si>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0870</t>
  </si>
  <si>
    <t>Wpływy ze sprzedaży składników majątkowych</t>
  </si>
  <si>
    <t>0910</t>
  </si>
  <si>
    <t>Odsetki od nieterminowych wpłat z tytułu podatków i opłat</t>
  </si>
  <si>
    <t>Urzędy naczelnych organów władzy państwowej, kontroli i ochrony prawa i sądownictwa</t>
  </si>
  <si>
    <t>Urzędy naczelnych organów władzy państwowej, kontroli i ochrony prawa</t>
  </si>
  <si>
    <t>Wybory do Sejmu i Senatu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</si>
  <si>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</si>
  <si>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</si>
  <si>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</si>
  <si>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</si>
  <si>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</si>
  <si>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</si>
  <si>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</si>
  <si>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</si>
  <si>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</si>
  <si>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</si>
  <si>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</si>
  <si>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</si>
  <si>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</si>
  <si>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</si>
  <si>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</si>
  <si>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</si>
  <si>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</si>
  <si>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</si>
  <si>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</si>
  <si>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</si>
  <si>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</si>
  <si>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</si>
  <si>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</si>
  <si>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</si>
  <si>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</si>
  <si>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</si>
  <si>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</si>
  <si>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</si>
  <si>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</si>
  <si>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</si>
  <si>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</si>
  <si>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</si>
  <si>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</si>
  <si>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</si>
  <si>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</si>
  <si>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</si>
  <si>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</si>
  <si>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</si>
  <si>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</si>
  <si>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</si>
  <si>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</si>
  <si>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</si>
  <si>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</si>
  <si>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Urzędy wojewódzkie</t>
  </si>
  <si>
    <t>Rady gmin</t>
  </si>
  <si>
    <t>Podróże służbowe zagraniczna</t>
  </si>
  <si>
    <t>Składki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</si>
  <si>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</si>
  <si>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</si>
  <si>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</si>
  <si>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</si>
  <si>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</si>
  <si>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</si>
  <si>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Zakup mebli przedszkolnych</t>
  </si>
  <si>
    <t>Dowożenie uczniów</t>
  </si>
  <si>
    <t>Dokształcanie i doskonalenie nauczycieli</t>
  </si>
  <si>
    <t>Budowa sieci wodociągowej w m.K-rz ul.Szkolna (zmiana nazwy ulicy na ul.Gołębią)</t>
  </si>
  <si>
    <t>Budowa sieci wodociągowej w m.K-rz ul.Gołębia</t>
  </si>
  <si>
    <t>Przebudowa ul.Okręźnej w Kaźmierzu</t>
  </si>
  <si>
    <t>Zakup kotła gazowego dla świetlicy wiejskiej w Radzynach</t>
  </si>
  <si>
    <t>Utwardzenie placu</t>
  </si>
  <si>
    <t>Instalacja klap dymnych</t>
  </si>
  <si>
    <t>Podgrzewanie elektryczne odpływów wód opadowych</t>
  </si>
  <si>
    <t>Wpływy z tytułu pomocy finansowej udzielanej między jednostkami samorządu terytorialnego na dofinansowanie własnych zadań bieżących</t>
  </si>
  <si>
    <t>Dochody jednostek samorządu terytorialnego związane z realizacją zadań z zakresu administracji rządowej oraz innych zadań zleconych ustawami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</si>
  <si>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</si>
  <si>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</si>
  <si>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</si>
  <si>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</si>
  <si>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Wpływy do budżetu nadwyżki środków obrotowych zakładu budżetowego</t>
  </si>
  <si>
    <t>Część równoważąca subwencji ogólnej dla gmin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</si>
  <si>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</si>
  <si>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</si>
  <si>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</si>
  <si>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</si>
  <si>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</si>
  <si>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</si>
  <si>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</si>
  <si>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</si>
  <si>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</si>
  <si>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</si>
  <si>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</si>
  <si>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Opłaty czynszowe za pomieszczenia biurowe</t>
  </si>
  <si>
    <t>Usługi opiekuńcze i specjalistyczne usługi opiekuńcze</t>
  </si>
  <si>
    <t>DOCHODY I WYDATKI NA ZADANIA ZLECONE GMINOM</t>
  </si>
  <si>
    <t>NA 2007r.</t>
  </si>
  <si>
    <t>DOCHODY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</si>
  <si>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</si>
  <si>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</si>
  <si>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</si>
  <si>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</si>
  <si>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</si>
  <si>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</si>
  <si>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</si>
  <si>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</si>
  <si>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</si>
  <si>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</si>
  <si>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</si>
  <si>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</si>
  <si>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</si>
  <si>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</si>
  <si>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</si>
  <si>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</si>
  <si>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Zakup sprzętu komputerowego</t>
  </si>
  <si>
    <t>DOCHODY GMINY KAŹMIERZ W 2007r.</t>
  </si>
  <si>
    <t>Zał.Nr 1 do Uchwały Nr XVII/93/07 Rady Gminy Kaźmierz z dn.28.11.2007 r.</t>
  </si>
  <si>
    <t xml:space="preserve">Plan dochodów budżetowych na 2007 r.               </t>
  </si>
  <si>
    <t>Zmiany Rady</t>
  </si>
  <si>
    <t>Uchwała nr V/29/07  Rady Gminy Kaźmierz z dn.02.03.2007</t>
  </si>
  <si>
    <t>Uchwała nr VI/32/07  Rady Gminy Kaźmierz z dn.04.04.2007</t>
  </si>
  <si>
    <t>Uchwała nr VIII/48/07 Rady Gminy Kaźmierz z dn.21.06.2007</t>
  </si>
  <si>
    <t>Uchwała nr X/54/07 Rady Gminy Kaźmierz z dn.02.08.2007</t>
  </si>
  <si>
    <t>Uchwała nr XI/59/07 Rady Gminy Kaźmierz z dn.17.08.2007</t>
  </si>
  <si>
    <t>Uchwała nr XIII/64/07 Rady Gminy Kaźmierz z dn.27.09.2007</t>
  </si>
  <si>
    <t>Uchwała nr ____ Rady Gminy Kaźmierz z dn.13.10.2007</t>
  </si>
  <si>
    <t>Dochody za dzierżawę obwodów łowieckich zgodnie z wykonaniem na 31.10.2007 r.</t>
  </si>
  <si>
    <t>Dotacja celowa na zwrot części podatku akcyzowego zawartego w cenie oleju napędowego wykorzystywanego do produkcji rolnej przez producentów rolnych oraz na pokrycie kosztów postępowania w sprawie jego zwrotu poniesionych przez gminy (pismo Wojewody Wielkopolskiego znak FB.I-5.3011-591/07 z dnia 25.10.2007 r.)</t>
  </si>
  <si>
    <t>Wpływy z tytułu pomocy finansowej udzielanej między jednostkami samorządu terytorialnego na dofinansowanie własnych zadań inwestycyjnych i zakupów inwestycyjnych.</t>
  </si>
  <si>
    <t>Dochody za dzierżawę składników majątkowych zgodnie z wykonaniem na dzień 31.10.2007 r.</t>
  </si>
  <si>
    <t>Odsetki za nieterminowe regulowanie należności zgodnie z wykonaniem na dzien 31.10.2007 r.</t>
  </si>
  <si>
    <t>Odsetki wynikające z umów na ratalną sprzedaż nieruchomości zgodnie z wykonaniem na dzień 31.10.2007 r.</t>
  </si>
  <si>
    <t>Wpływ z podatku opłacanego w formie karty podatkowej zgodnie z wykonaniem na 31.10.2007 r.</t>
  </si>
  <si>
    <t>Wpływ z podatku od spadku i darowizn zgodnie z wykonaniem na 31.10.2007 r.</t>
  </si>
  <si>
    <t>Zwiększenie dochodów z tytułu podatku od czynności cywilnoprawnych na podstawie  wykonania na 31.10.2007 r.</t>
  </si>
  <si>
    <t xml:space="preserve">Wzrost dochodów z tytułu opłaty adiacenckiej podziałowej </t>
  </si>
  <si>
    <t>Środki z rezerwy części oświatowej subwencji ogólnej na dofinansowanie kosztów związanych z wypłatą odpraw dla nauczycieli zwalnianych w trybie art.20 Karty Nauczyciela, a także nauczycieli przechodzących na emeryturę na podstwie art. 88 Karty Nauczyciela ( pismo Ministra Finansów znak ST5-4822-27g/BKU/07 z dnia 22.11.2007 r.)</t>
  </si>
  <si>
    <t>Uzupełnienie subwencji ogólnej dla jednostek samorządu terytorialnego</t>
  </si>
  <si>
    <t>Środki na uzupełnienie dochodów gmin</t>
  </si>
  <si>
    <t>Środki z rezerwy subwencji ogólnej na uzupełnienie dochodów gminy ( pismo Ministra Finansów znak ST3-4822-1/2007 z dnia 26.10.2007 r.)</t>
  </si>
  <si>
    <r>
      <t>1.</t>
    </r>
    <r>
      <rPr>
        <sz val="8"/>
        <rFont val="Times New Roman CE"/>
        <family val="1"/>
      </rPr>
      <t xml:space="preserve"> Dotacja celowa na sfinansowanie prac komisji kwalifikacyjnych i egzaminacyjnych powołanych do rozpatrzenia wniosków nauczycieli o wyższy stopień awansu zawodowego (pismo Wojewody wielkopolskiego znak FB.I-6.3011-610/07 z dnia 25.10.2007 r.)  </t>
    </r>
    <r>
      <rPr>
        <b/>
        <sz val="8"/>
        <rFont val="Times New Roman CE"/>
        <family val="0"/>
      </rPr>
      <t>360,00</t>
    </r>
    <r>
      <rPr>
        <sz val="8"/>
        <rFont val="Times New Roman CE"/>
        <family val="1"/>
      </rPr>
      <t xml:space="preserve">                                                                                                                                                 </t>
    </r>
    <r>
      <rPr>
        <b/>
        <sz val="8"/>
        <rFont val="Times New Roman CE"/>
        <family val="0"/>
      </rPr>
      <t>2.</t>
    </r>
    <r>
      <rPr>
        <sz val="8"/>
        <rFont val="Times New Roman CE"/>
        <family val="1"/>
      </rPr>
      <t xml:space="preserve"> Dotacja celowa na dofinansowanie pracodawcom kosztów przygotowania zawodowego młodocianych pracowników ( pismo Wojewody Wielkopolskiego znak FB.I-7.3011-599/07 z dnia 26.10.2007 r.) </t>
    </r>
    <r>
      <rPr>
        <b/>
        <sz val="8"/>
        <rFont val="Times New Roman CE"/>
        <family val="0"/>
      </rPr>
      <t>5.622,00</t>
    </r>
    <r>
      <rPr>
        <sz val="8"/>
        <rFont val="Times New Roman CE"/>
        <family val="1"/>
      </rPr>
      <t xml:space="preserve">,                                                                                </t>
    </r>
    <r>
      <rPr>
        <b/>
        <sz val="8"/>
        <rFont val="Times New Roman CE"/>
        <family val="0"/>
      </rPr>
      <t>3.</t>
    </r>
    <r>
      <rPr>
        <sz val="8"/>
        <rFont val="Times New Roman CE"/>
        <family val="1"/>
      </rPr>
      <t xml:space="preserve"> Dotacja celowa na dofinansowanie zakupu lektur do bibliotek szkolnych szkół podstawowych i gimnazjów położonych na terenach wiejskich (pismo Wojewody Wielkopolskiego znak FB.I.-6.3011-614/07 z dnia 29.10.2007 r.) </t>
    </r>
    <r>
      <rPr>
        <b/>
        <sz val="8"/>
        <rFont val="Times New Roman CE"/>
        <family val="0"/>
      </rPr>
      <t>2.230,00</t>
    </r>
  </si>
  <si>
    <t>Zasiłki rodzinne, pielęgnacyjne i wychowawcze</t>
  </si>
  <si>
    <t>Usuwanie skutków klęsk żywiołowych</t>
  </si>
  <si>
    <t>Dotacja celowa na dofinansowanie realizacji programu wieloletniego "Pomoc państwa w zakresie dozywiania" (pismo Wojewody Wielkopolskiego znak FB.I-3.3011-532/07 z dnia 10.10.2007 r.)</t>
  </si>
  <si>
    <t>Edukacyjna opieka wychowawcza</t>
  </si>
  <si>
    <t>Pomoc materialna dla uczniów</t>
  </si>
  <si>
    <r>
      <t>1.</t>
    </r>
    <r>
      <rPr>
        <sz val="8"/>
        <rFont val="Times New Roman CE"/>
        <family val="1"/>
      </rPr>
      <t xml:space="preserve">Dotacja na dofinansowanie jednolitego stroju dla uczniów szkół podstawowych i gimnazjów II i III transza (pisma Wojewody Wielkopolskiego znak FB.I-6.3011-510/07 z dnia 18.10.2007 r. i znak FB.I.6.3011-618/07 z dnia 26.10.2007 r.)  </t>
    </r>
    <r>
      <rPr>
        <b/>
        <sz val="8"/>
        <rFont val="Times New Roman CE"/>
        <family val="0"/>
      </rPr>
      <t>810,00</t>
    </r>
    <r>
      <rPr>
        <sz val="8"/>
        <rFont val="Times New Roman CE"/>
        <family val="1"/>
      </rPr>
      <t xml:space="preserve">                                                                                                        </t>
    </r>
    <r>
      <rPr>
        <b/>
        <sz val="8"/>
        <rFont val="Times New Roman CE"/>
        <family val="0"/>
      </rPr>
      <t>2.</t>
    </r>
    <r>
      <rPr>
        <sz val="8"/>
        <rFont val="Times New Roman CE"/>
        <family val="1"/>
      </rPr>
      <t xml:space="preserve"> Dotacja celowa na dofinansowanie świadczeń pomocy materialnej dla uczniów o charakterze socjalnym ( pisma Wojewody Wielkopolskiego znak FB.I6.3011-571/07 z dnia 18.10.2007 r. i znak FB.I-6.3011-592/07 z dnia 26.10.2007 r.) </t>
    </r>
    <r>
      <rPr>
        <b/>
        <sz val="8"/>
        <rFont val="Times New Roman CE"/>
        <family val="0"/>
      </rPr>
      <t>15.119,00</t>
    </r>
  </si>
  <si>
    <t>Kultura i ochrona dziedzictwa narodowego</t>
  </si>
  <si>
    <t>Biblioteki</t>
  </si>
  <si>
    <t>Dotacje celowe otrzymane z budżetu państwa na zadania bieżące realizowane przez gminę na podstawie porozumień z organami administracji rządowej</t>
  </si>
  <si>
    <t>Zał.Nr 2 do Uchwały Nr XVII/93/07 Rady Gminy Kaźmierz z dn.28.11.2007 r.</t>
  </si>
  <si>
    <t xml:space="preserve">Plan wydatków budżetowych na 2007r. </t>
  </si>
  <si>
    <t>Plan wydatków po zmianach</t>
  </si>
  <si>
    <t>Uchwała nr VII/38/07  Rady Gminy Kaźmierz z dn.26.04.2007</t>
  </si>
  <si>
    <t>Uchwała nr ______ Rady Gminy Kaźmierz z dn.13.10.2007</t>
  </si>
  <si>
    <t>01008</t>
  </si>
  <si>
    <t>Melioracje wodne</t>
  </si>
  <si>
    <r>
      <t>1.</t>
    </r>
    <r>
      <rPr>
        <sz val="8"/>
        <rFont val="Times New Roman"/>
        <family val="1"/>
      </rPr>
      <t xml:space="preserve"> Zmniejszenie środków na budowę sieci wodociągowej : w m.Kopanina </t>
    </r>
    <r>
      <rPr>
        <b/>
        <sz val="8"/>
        <rFont val="Times New Roman"/>
        <family val="1"/>
      </rPr>
      <t>3.424,00</t>
    </r>
    <r>
      <rPr>
        <sz val="8"/>
        <rFont val="Times New Roman"/>
        <family val="1"/>
      </rPr>
      <t xml:space="preserve"> i w Kaźmierzu ul.Gołebia </t>
    </r>
    <r>
      <rPr>
        <b/>
        <sz val="8"/>
        <rFont val="Times New Roman"/>
        <family val="1"/>
      </rPr>
      <t>6.000,00</t>
    </r>
    <r>
      <rPr>
        <sz val="8"/>
        <rFont val="Times New Roman"/>
        <family val="1"/>
      </rPr>
      <t xml:space="preserve">                                                               </t>
    </r>
    <r>
      <rPr>
        <b/>
        <sz val="8"/>
        <rFont val="Times New Roman"/>
        <family val="1"/>
      </rPr>
      <t xml:space="preserve">2. </t>
    </r>
    <r>
      <rPr>
        <sz val="8"/>
        <rFont val="Times New Roman"/>
        <family val="1"/>
      </rPr>
      <t xml:space="preserve">Zwiększenie wydatków na budowę sieci wodociągowej : w Radzynach ul.Leśna </t>
    </r>
    <r>
      <rPr>
        <b/>
        <sz val="8"/>
        <rFont val="Times New Roman"/>
        <family val="1"/>
      </rPr>
      <t>366,00</t>
    </r>
    <r>
      <rPr>
        <sz val="8"/>
        <rFont val="Times New Roman"/>
        <family val="1"/>
      </rPr>
      <t xml:space="preserve">, w Kaźmierzu ul.Poznanska </t>
    </r>
    <r>
      <rPr>
        <b/>
        <sz val="8"/>
        <rFont val="Times New Roman"/>
        <family val="1"/>
      </rPr>
      <t>16.000,00</t>
    </r>
    <r>
      <rPr>
        <sz val="8"/>
        <rFont val="Times New Roman"/>
        <family val="1"/>
      </rPr>
      <t>, w Radzynach-Chrusty</t>
    </r>
    <r>
      <rPr>
        <b/>
        <sz val="8"/>
        <rFont val="Times New Roman"/>
        <family val="1"/>
      </rPr>
      <t xml:space="preserve"> 3.000,00</t>
    </r>
    <r>
      <rPr>
        <sz val="8"/>
        <rFont val="Times New Roman"/>
        <family val="1"/>
      </rPr>
      <t xml:space="preserve">, Kaźmierz ul.Polna - Reja </t>
    </r>
    <r>
      <rPr>
        <b/>
        <sz val="8"/>
        <rFont val="Times New Roman"/>
        <family val="1"/>
      </rPr>
      <t xml:space="preserve">10.500,00 </t>
    </r>
    <r>
      <rPr>
        <sz val="8"/>
        <rFont val="Times New Roman"/>
        <family val="1"/>
      </rPr>
      <t xml:space="preserve">                                                                        </t>
    </r>
    <r>
      <rPr>
        <b/>
        <sz val="8"/>
        <rFont val="Times New Roman"/>
        <family val="1"/>
      </rPr>
      <t>3.</t>
    </r>
    <r>
      <rPr>
        <sz val="8"/>
        <rFont val="Times New Roman"/>
        <family val="1"/>
      </rPr>
      <t xml:space="preserve"> Zwieksza się wydatki na sieć kanalizacyjną w Kaźmierzu ul.Konopnickiej-Dolna </t>
    </r>
    <r>
      <rPr>
        <b/>
        <sz val="8"/>
        <rFont val="Times New Roman"/>
        <family val="1"/>
      </rPr>
      <t>3.000,0</t>
    </r>
    <r>
      <rPr>
        <sz val="8"/>
        <rFont val="Times New Roman"/>
        <family val="1"/>
      </rPr>
      <t xml:space="preserve">0,  w Kaźmierzu ul.Poznańska-Dolna </t>
    </r>
    <r>
      <rPr>
        <b/>
        <sz val="8"/>
        <rFont val="Times New Roman"/>
        <family val="1"/>
      </rPr>
      <t>5.300,00</t>
    </r>
    <r>
      <rPr>
        <sz val="8"/>
        <rFont val="Times New Roman"/>
        <family val="1"/>
      </rPr>
      <t xml:space="preserve">                                                                  </t>
    </r>
    <r>
      <rPr>
        <b/>
        <sz val="8"/>
        <rFont val="Times New Roman"/>
        <family val="1"/>
      </rPr>
      <t xml:space="preserve">                                                                       4. </t>
    </r>
    <r>
      <rPr>
        <sz val="8"/>
        <rFont val="Times New Roman"/>
        <family val="1"/>
      </rPr>
      <t xml:space="preserve">Wprowadza się:                                                                                           *budowa sieci wodociągowej w Kaźmierzu rej.ul.Nowowiejskiej </t>
    </r>
    <r>
      <rPr>
        <b/>
        <sz val="8"/>
        <rFont val="Times New Roman"/>
        <family val="1"/>
      </rPr>
      <t>60.000,00</t>
    </r>
    <r>
      <rPr>
        <sz val="8"/>
        <rFont val="Times New Roman"/>
        <family val="1"/>
      </rPr>
      <t xml:space="preserve">,                                                                                                                                                           * budowa sieci wodociągowej Dolne Pole-Brzezno </t>
    </r>
    <r>
      <rPr>
        <b/>
        <sz val="8"/>
        <rFont val="Times New Roman"/>
        <family val="1"/>
      </rPr>
      <t>28.000,00</t>
    </r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</si>
  <si>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</si>
  <si>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</si>
  <si>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</si>
  <si>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</si>
  <si>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</si>
  <si>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 xml:space="preserve">Środki na zwrot części podatku akcyzowego zawartego w cenie oleju napędowego wykorzystywanego do produkcji rolnej przez producentów rolnych oraz na pokrycie kosztów postępowania w sprawie jego zwrotu poniesionych przez gminy </t>
  </si>
  <si>
    <t>Zmniejszenie  pomocy finansowej dla Powiatu Szamotulskiego na remont  drogi  powiatowej nr 1860P Otorowo - Bytyń na odcinku Pólko - Piersko na dł.ok.1 446m. (Porozumienie z dnia 18.10.2007 r.)</t>
  </si>
  <si>
    <t>Różne rozliczenia finasowe</t>
  </si>
  <si>
    <r>
      <t xml:space="preserve">Zmniejsza się wydatki na przebudowę ul.Okrężnej w Kaźmierzu o </t>
    </r>
    <r>
      <rPr>
        <b/>
        <sz val="8"/>
        <rFont val="Times New Roman"/>
        <family val="1"/>
      </rPr>
      <t>20.000,00</t>
    </r>
    <r>
      <rPr>
        <sz val="8"/>
        <rFont val="Times New Roman"/>
        <family val="1"/>
      </rPr>
      <t xml:space="preserve">, zwiększa się  wydatki na budowę chodnika przy ul.Reja w Kaźmierzu o </t>
    </r>
    <r>
      <rPr>
        <b/>
        <sz val="8"/>
        <rFont val="Times New Roman"/>
        <family val="1"/>
      </rPr>
      <t>3.000,00</t>
    </r>
  </si>
  <si>
    <t>Wykup dróg dz.nr 1170/1, 1170/5 w Kaźmierzu rej.ul.Nowowiejskiej, 113/9, 113/13, 113/17 w Kaźmierzu rej.ul.Dolnej</t>
  </si>
  <si>
    <t>Działalność usługowa</t>
  </si>
  <si>
    <t>Plany zagospodarowania przestrzennego</t>
  </si>
  <si>
    <t>Zmniejszenie wydatków na plany zagospodarowania przestrzennego.</t>
  </si>
  <si>
    <t>Opracowania geodezyjne i kartograficzne</t>
  </si>
  <si>
    <t>Środki na remont pokrycia dachowego na świetlicy w Gorszewicach</t>
  </si>
  <si>
    <t>Środki na modernizację  kotłowni  w świetlicy wiejskiej w Bytyniu</t>
  </si>
  <si>
    <t>Jednostki terenowe Policji</t>
  </si>
  <si>
    <t>Zakup samochodu policyjnego marki Volkswagen CADDY Kombi 1,6 75kW</t>
  </si>
  <si>
    <t>Rezerwy ogólne i celowe</t>
  </si>
  <si>
    <t>Rezerwy</t>
  </si>
  <si>
    <t>Zmniejszenie rezerwy ogólnej z przeznaczeniem na bieżące utrzymanie oświaty</t>
  </si>
  <si>
    <t>Inne formy pomocy dla uczniów</t>
  </si>
  <si>
    <t>Środki na fundusz płac</t>
  </si>
  <si>
    <t xml:space="preserve">Środki na sfinansowanie prac komisji kwalifikacyjnych i egzaminacyjnych powołanych do rozpatrzenia wniosków nauczycieli o wyższy stopień awansu zawodowego </t>
  </si>
  <si>
    <t xml:space="preserve">Środki na dofinansowanie zakupu lektur do bibliotek szkolnych szkół podstawowych i gimnazjów położonych na terenach wiejskich </t>
  </si>
  <si>
    <t xml:space="preserve">Środki na dofinansowanie pracodawcom kosztów przygotowania zawodowego młodocianych pracowników </t>
  </si>
  <si>
    <t>Dotacja celowa z budżetu na finansowanie lub dofinansowanie zadań zleconych do realizacji stowarzyszeniom</t>
  </si>
  <si>
    <t>Wydatki na pomoc finansową udzielaną między jednostkami samorządu terytorialnego na dofinansowanie własnych zadań inwestycyjnych i zakupów inwestycyjnych</t>
  </si>
  <si>
    <t>Środki na dofinansowanie realizacji programu wieloletniego "Pomoc państwa w zakresie dozywiania"</t>
  </si>
  <si>
    <r>
      <t xml:space="preserve">1. </t>
    </r>
    <r>
      <rPr>
        <sz val="8"/>
        <rFont val="Times New Roman CE"/>
        <family val="0"/>
      </rPr>
      <t>Środki</t>
    </r>
    <r>
      <rPr>
        <sz val="8"/>
        <rFont val="Times New Roman CE"/>
        <family val="1"/>
      </rPr>
      <t xml:space="preserve"> na dofinansowanie jednolitego stroju dla uczniów szkół podstawowych i gimnazjów II i III transza   </t>
    </r>
    <r>
      <rPr>
        <b/>
        <sz val="8"/>
        <rFont val="Times New Roman CE"/>
        <family val="0"/>
      </rPr>
      <t>810,00</t>
    </r>
    <r>
      <rPr>
        <sz val="8"/>
        <rFont val="Times New Roman CE"/>
        <family val="1"/>
      </rPr>
      <t xml:space="preserve">                                                                                                        </t>
    </r>
    <r>
      <rPr>
        <b/>
        <sz val="8"/>
        <rFont val="Times New Roman CE"/>
        <family val="0"/>
      </rPr>
      <t>2.</t>
    </r>
    <r>
      <rPr>
        <sz val="8"/>
        <rFont val="Times New Roman CE"/>
        <family val="1"/>
      </rPr>
      <t xml:space="preserve"> Środki  na dofinansowanie świadczeń pomocy materialnej dla uczniów o charakterze socjalnym </t>
    </r>
    <r>
      <rPr>
        <b/>
        <sz val="8"/>
        <rFont val="Times New Roman CE"/>
        <family val="0"/>
      </rPr>
      <t xml:space="preserve">15.119,00                                                                                                                     3. </t>
    </r>
    <r>
      <rPr>
        <sz val="8"/>
        <rFont val="Times New Roman CE"/>
        <family val="0"/>
      </rPr>
      <t>Środki z dochodów własnych na udzielenie uczniom, potrzebującym szczególnego wsparcia, pomocy materialnej o charakterze edukacyjnym</t>
    </r>
    <r>
      <rPr>
        <b/>
        <sz val="8"/>
        <rFont val="Times New Roman CE"/>
        <family val="0"/>
      </rPr>
      <t xml:space="preserve"> 24.000,00</t>
    </r>
  </si>
  <si>
    <t>Zał.Nr 3 do Uchwały Nr XVII/93/07 Rady Gminy Kaźmierz z dn.28.11.2007 r.</t>
  </si>
  <si>
    <t>Zał.Nr 4 do Uchwały Nr XVII/93/07 Rady Gminy Kaźmierz z dn.28.11.2007 r.</t>
  </si>
  <si>
    <t>PLAN PRZYCHODÓW I WYDATKÓW ZAKŁADU USŁUG  KOMUNALNYCH W KAŹMIERZU W 2007r.</t>
  </si>
  <si>
    <t>Dział</t>
  </si>
  <si>
    <t>Nazwa</t>
  </si>
  <si>
    <t xml:space="preserve">Przychody </t>
  </si>
  <si>
    <t>Przychody po zmianach</t>
  </si>
  <si>
    <t>Wydatki</t>
  </si>
  <si>
    <t>Wytwarzanie i zaopatrywanie w energię elektryczną, gaz i wodę</t>
  </si>
  <si>
    <t>Zwiększenie przychodów z uwagi na wzrastającą ilość sieci wodociągowych</t>
  </si>
  <si>
    <t>w tym dotacje:</t>
  </si>
  <si>
    <t>przedmiotowa</t>
  </si>
  <si>
    <t>na zakupy inwestycyjne</t>
  </si>
  <si>
    <t>w tym dotacja przedmiotowa</t>
  </si>
  <si>
    <t>Zwiększenie przychodów z uwagi na wzrastającą ilość odbieranych nieczystości stałych</t>
  </si>
  <si>
    <t>Gospodarka komunalna i ochrona srodowiska</t>
  </si>
  <si>
    <t>Zwiększenie przychodów z uwagi na wzrastającą ilość odbieranych nieczystości płynnych.</t>
  </si>
  <si>
    <t>Zał.Nr 5 do Uchwały Nr XVII/93/07 Rady Gminy Kaźmierz z dn.28.11.2007 r.</t>
  </si>
  <si>
    <t>Budowa sieci wodociągowej w m.Kaźmierz ul.Nowowiejskiej-Żniwnej</t>
  </si>
  <si>
    <t>Budowa sieci wodociągowej w Dolne Pole - Brzezno</t>
  </si>
  <si>
    <t>Modernizacja kotłowni  w świetlicy wiejskiej w Bytyniu</t>
  </si>
  <si>
    <t>Plan wydatków na wieloletnie programy inwestycyjne</t>
  </si>
  <si>
    <t>Zał.Nr 6 do Uchwały Nr XVII/93/07 Rady Gminy Kaźmierz z dn.28.11.2007 r.</t>
  </si>
  <si>
    <t>Lp.</t>
  </si>
  <si>
    <t>Nazwa i cel programu</t>
  </si>
  <si>
    <t>Jednostka realizująca program</t>
  </si>
  <si>
    <t xml:space="preserve">Okres realizacji programu </t>
  </si>
  <si>
    <t>Wysokość wydatków w okresie realizacji</t>
  </si>
  <si>
    <t>Źródła finansowania</t>
  </si>
  <si>
    <t xml:space="preserve">Ogółem </t>
  </si>
  <si>
    <t>w tym:</t>
  </si>
  <si>
    <t>Środki własne</t>
  </si>
  <si>
    <t>Środki bezzwrotne z Unii Europejskiej</t>
  </si>
  <si>
    <t>Kredyt</t>
  </si>
  <si>
    <t>Inne źródła</t>
  </si>
  <si>
    <t>2003/2006</t>
  </si>
  <si>
    <t>Modernizacja SUW  
w Gaju Wielkim</t>
  </si>
  <si>
    <t>Gmina Kaźmierz</t>
  </si>
  <si>
    <t>2007-2008</t>
  </si>
  <si>
    <t>Z uwagi na brak przewidywanych wcześniej środków finansowych zakres prac polegających na modernizacji stacji został zmieniony. W roku 2006 planowano wykonać całkowity projekt inwestycji za 50.000 PLN, (szacunkowa wartość).Z uwagi na brak środków finansowych wykonanie dokumentacji projektowej zostało przesunęte na rok 2007. W związku z przesunięciem terminu wykonania dokumentacji projektowej zmianie uległ również zakres wykonywanych prac w 2008 roku..</t>
  </si>
  <si>
    <t xml:space="preserve">Sieć wodociągowa Kaźmierz ul.Polna-Reja </t>
  </si>
  <si>
    <t>2004-2010</t>
  </si>
  <si>
    <t>Z uwagi na brak  środków finansowych zakres wykonywanych prac w wodociągowaniu rejonu ul.Polna - Reja w Kaźmierzu został przesunięty w czasie.</t>
  </si>
  <si>
    <t>Sieć wodociągowa Kaźmierz ul.Gołębia</t>
  </si>
  <si>
    <t>Brak potrzebnych środków finansowych spowodował, że zakres wykonywanych prac w wodociągowaniu ul.Szkolnej w Kaźmierzu został przesunięty w czasie.</t>
  </si>
  <si>
    <t>Sieć wodociągowa Radzyny osiedle rej.ul.Krańcowej I,II,III</t>
  </si>
  <si>
    <t>2004-2009</t>
  </si>
  <si>
    <t>Sieć wodociągowa w Kopaninie</t>
  </si>
  <si>
    <t>Sieć wodociągowa w m.Kaźmierz rej.ul.Konopnickiej-Dolnej</t>
  </si>
  <si>
    <t>2006-2009</t>
  </si>
  <si>
    <t>Przebudowa Płyty Rynku w Kaźmierzu</t>
  </si>
  <si>
    <t>2004-2012</t>
  </si>
  <si>
    <t>Wobec braku  środków finansowych zakres wykonywanych prac przy przebudowie płyty Rynku w Kaźmierzu został przesunięty w czasie.</t>
  </si>
  <si>
    <t>Budowa świetlicy wiejskiej w m.Kiączyn</t>
  </si>
  <si>
    <t>2006-2008</t>
  </si>
  <si>
    <t>Sieć kanalizacji sanitarnej układ Kaźmierz - Kiączyn</t>
  </si>
  <si>
    <t>2007-2011</t>
  </si>
  <si>
    <t>Sieć kanalizacji sanitarnej w m.Kaźmierz rej.ul.Konopnickiej-Dolnej</t>
  </si>
  <si>
    <t>2007-2009</t>
  </si>
  <si>
    <t>Sieć kanalizacji deszczowej w aglomeracji Kaźmierz</t>
  </si>
  <si>
    <t>2009-2013</t>
  </si>
  <si>
    <t>Zadanie zostało przesunięte w czasie w skutek braku dostatecznych środków finansowych.</t>
  </si>
  <si>
    <t>Gazyfikacja gminy</t>
  </si>
  <si>
    <t>2005-2013</t>
  </si>
  <si>
    <t xml:space="preserve">Budowa ścieżek rowerowych do Radzyn, Chlewisk </t>
  </si>
  <si>
    <t>2008-2010</t>
  </si>
  <si>
    <t>Brak środków finansowych spowodował przesunięcie tej inwestycji na dalsze lata.</t>
  </si>
  <si>
    <t>Budowa ścieżek chodników Sokolniki Wielkie, Bytyń ul.Bursztynowa, Kaźmierz ul.Dworcowa</t>
  </si>
  <si>
    <t>2007-2010</t>
  </si>
  <si>
    <t xml:space="preserve">Budowa dróg dojazdowych do gruntów rolnych </t>
  </si>
  <si>
    <t>2005-2010</t>
  </si>
  <si>
    <t>Z uwagi na brak  środków finansowych zakres wykonywanych prac został przesunięty w czasie.</t>
  </si>
  <si>
    <t>Oświetlenie dróg osiedlowych na terenie gminy Kaźmierz</t>
  </si>
  <si>
    <t>2004-2013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</si>
</sst>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10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 CE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2"/>
      <color indexed="10"/>
      <name val="Times New Roman CE"/>
      <family val="1"/>
    </font>
    <font>
      <b/>
      <sz val="12"/>
      <color indexed="12"/>
      <name val="Times New Roman CE"/>
      <family val="1"/>
    </font>
    <font>
      <sz val="8"/>
      <color indexed="12"/>
      <name val="Times New Roman CE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sz val="10"/>
      <name val="Arial CE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6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 quotePrefix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7" fillId="0" borderId="1" xfId="0" applyFont="1" applyBorder="1" applyAlignment="1" quotePrefix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 quotePrefix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left" vertical="center"/>
    </xf>
    <xf numFmtId="4" fontId="11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 quotePrefix="1">
      <alignment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 wrapText="1"/>
    </xf>
    <xf numFmtId="4" fontId="19" fillId="5" borderId="1" xfId="0" applyNumberFormat="1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vertical="center" wrapText="1"/>
    </xf>
    <xf numFmtId="4" fontId="11" fillId="5" borderId="4" xfId="0" applyNumberFormat="1" applyFont="1" applyFill="1" applyBorder="1" applyAlignment="1">
      <alignment horizontal="center" vertical="center" wrapText="1"/>
    </xf>
    <xf numFmtId="4" fontId="15" fillId="5" borderId="4" xfId="0" applyNumberFormat="1" applyFont="1" applyFill="1" applyBorder="1" applyAlignment="1">
      <alignment horizontal="center" vertical="center" wrapText="1"/>
    </xf>
    <xf numFmtId="4" fontId="19" fillId="5" borderId="4" xfId="0" applyNumberFormat="1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wrapText="1"/>
    </xf>
    <xf numFmtId="0" fontId="11" fillId="0" borderId="0" xfId="0" applyFont="1" applyFill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9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4" fontId="22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12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1" fillId="0" borderId="5" xfId="0" applyFont="1" applyBorder="1" applyAlignment="1">
      <alignment vertical="center" wrapText="1"/>
    </xf>
    <xf numFmtId="0" fontId="7" fillId="3" borderId="2" xfId="0" applyFont="1" applyFill="1" applyBorder="1" applyAlignment="1" quotePrefix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5" fillId="5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right" vertical="center"/>
    </xf>
    <xf numFmtId="0" fontId="27" fillId="7" borderId="6" xfId="0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right" vertical="center"/>
    </xf>
    <xf numFmtId="0" fontId="2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right" vertical="center"/>
    </xf>
    <xf numFmtId="4" fontId="7" fillId="3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27" fillId="3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24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24" fillId="0" borderId="1" xfId="0" applyNumberFormat="1" applyFont="1" applyBorder="1" applyAlignment="1">
      <alignment horizontal="right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vertical="center" wrapText="1"/>
    </xf>
    <xf numFmtId="4" fontId="28" fillId="5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4" fontId="24" fillId="0" borderId="0" xfId="0" applyNumberFormat="1" applyFont="1" applyAlignment="1">
      <alignment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37" fillId="0" borderId="5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/>
    </xf>
    <xf numFmtId="4" fontId="7" fillId="3" borderId="5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4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30" fillId="3" borderId="1" xfId="0" applyNumberFormat="1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4" fontId="10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3" fillId="0" borderId="0" xfId="0" applyNumberFormat="1" applyFont="1" applyAlignment="1" quotePrefix="1">
      <alignment horizontal="right" vertical="center" wrapText="1"/>
    </xf>
    <xf numFmtId="4" fontId="10" fillId="0" borderId="0" xfId="0" applyNumberFormat="1" applyFont="1" applyAlignment="1" quotePrefix="1">
      <alignment horizontal="right" vertical="center" wrapText="1"/>
    </xf>
    <xf numFmtId="4" fontId="4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Fill="1" applyAlignment="1" quotePrefix="1">
      <alignment horizontal="right" vertical="center" wrapText="1"/>
    </xf>
    <xf numFmtId="4" fontId="6" fillId="0" borderId="0" xfId="0" applyNumberFormat="1" applyFont="1" applyFill="1" applyAlignment="1" quotePrefix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6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35" fillId="6" borderId="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7" fillId="0" borderId="12" xfId="0" applyFont="1" applyBorder="1" applyAlignment="1">
      <alignment/>
    </xf>
    <xf numFmtId="0" fontId="11" fillId="5" borderId="2" xfId="0" applyFont="1" applyFill="1" applyBorder="1" applyAlignment="1" quotePrefix="1">
      <alignment horizontal="center" vertical="center"/>
    </xf>
    <xf numFmtId="4" fontId="36" fillId="5" borderId="1" xfId="0" applyNumberFormat="1" applyFont="1" applyFill="1" applyBorder="1" applyAlignment="1">
      <alignment horizontal="center" vertical="center"/>
    </xf>
    <xf numFmtId="4" fontId="35" fillId="5" borderId="1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4" fontId="34" fillId="0" borderId="1" xfId="0" applyNumberFormat="1" applyFont="1" applyFill="1" applyBorder="1" applyAlignment="1">
      <alignment horizontal="right" vertical="center" wrapText="1"/>
    </xf>
    <xf numFmtId="4" fontId="36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 wrapText="1"/>
    </xf>
    <xf numFmtId="4" fontId="35" fillId="0" borderId="1" xfId="0" applyNumberFormat="1" applyFont="1" applyFill="1" applyBorder="1" applyAlignment="1">
      <alignment horizontal="left" vertical="center" wrapText="1"/>
    </xf>
    <xf numFmtId="4" fontId="36" fillId="5" borderId="1" xfId="0" applyNumberFormat="1" applyFont="1" applyFill="1" applyBorder="1" applyAlignment="1">
      <alignment horizontal="center" vertical="center" wrapText="1"/>
    </xf>
    <xf numFmtId="4" fontId="35" fillId="5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34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4" fontId="35" fillId="0" borderId="1" xfId="0" applyNumberFormat="1" applyFont="1" applyFill="1" applyBorder="1" applyAlignment="1">
      <alignment horizontal="right" vertical="center" wrapText="1"/>
    </xf>
    <xf numFmtId="4" fontId="34" fillId="5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left" vertical="center" wrapText="1"/>
    </xf>
    <xf numFmtId="4" fontId="11" fillId="2" borderId="17" xfId="0" applyNumberFormat="1" applyFont="1" applyFill="1" applyBorder="1" applyAlignment="1">
      <alignment horizontal="center" vertical="center" wrapText="1"/>
    </xf>
    <xf numFmtId="4" fontId="36" fillId="2" borderId="17" xfId="0" applyNumberFormat="1" applyFont="1" applyFill="1" applyBorder="1" applyAlignment="1">
      <alignment horizontal="center" vertical="center" wrapText="1"/>
    </xf>
    <xf numFmtId="4" fontId="15" fillId="2" borderId="17" xfId="0" applyNumberFormat="1" applyFont="1" applyFill="1" applyBorder="1" applyAlignment="1">
      <alignment horizontal="center" vertical="center" wrapText="1"/>
    </xf>
    <xf numFmtId="4" fontId="35" fillId="2" borderId="17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Alignment="1">
      <alignment vertical="center" wrapText="1"/>
    </xf>
    <xf numFmtId="4" fontId="12" fillId="0" borderId="0" xfId="0" applyNumberFormat="1" applyFont="1" applyAlignment="1">
      <alignment vertical="center"/>
    </xf>
    <xf numFmtId="0" fontId="12" fillId="4" borderId="0" xfId="0" applyFont="1" applyFill="1" applyAlignment="1">
      <alignment vertical="center"/>
    </xf>
    <xf numFmtId="4" fontId="7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16" fillId="0" borderId="18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" fontId="7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right" vertical="center" wrapText="1"/>
    </xf>
    <xf numFmtId="4" fontId="3" fillId="8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3" fillId="8" borderId="1" xfId="0" applyNumberFormat="1" applyFont="1" applyFill="1" applyBorder="1" applyAlignment="1">
      <alignment vertical="center"/>
    </xf>
    <xf numFmtId="4" fontId="3" fillId="8" borderId="1" xfId="0" applyNumberFormat="1" applyFont="1" applyFill="1" applyBorder="1" applyAlignment="1">
      <alignment horizontal="right" vertical="center"/>
    </xf>
    <xf numFmtId="4" fontId="4" fillId="8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" fontId="31" fillId="0" borderId="1" xfId="0" applyNumberFormat="1" applyFont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1" fillId="9" borderId="32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12" fillId="0" borderId="27" xfId="0" applyNumberFormat="1" applyFont="1" applyBorder="1" applyAlignment="1">
      <alignment vertical="center" wrapText="1"/>
    </xf>
    <xf numFmtId="4" fontId="12" fillId="9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2" fillId="5" borderId="1" xfId="0" applyNumberFormat="1" applyFont="1" applyFill="1" applyBorder="1" applyAlignment="1">
      <alignment vertical="center" wrapText="1"/>
    </xf>
    <xf numFmtId="4" fontId="12" fillId="4" borderId="1" xfId="0" applyNumberFormat="1" applyFont="1" applyFill="1" applyBorder="1" applyAlignment="1">
      <alignment vertical="center" wrapText="1"/>
    </xf>
    <xf numFmtId="4" fontId="12" fillId="8" borderId="1" xfId="0" applyNumberFormat="1" applyFont="1" applyFill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4" fontId="12" fillId="9" borderId="1" xfId="0" applyNumberFormat="1" applyFont="1" applyFill="1" applyBorder="1" applyAlignment="1">
      <alignment horizontal="right" vertical="center" wrapText="1"/>
    </xf>
    <xf numFmtId="0" fontId="11" fillId="0" borderId="27" xfId="0" applyFont="1" applyFill="1" applyBorder="1" applyAlignment="1">
      <alignment vertical="center" wrapText="1"/>
    </xf>
    <xf numFmtId="4" fontId="12" fillId="0" borderId="27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4" fontId="12" fillId="0" borderId="27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1" fillId="0" borderId="1" xfId="0" applyFont="1" applyBorder="1" applyAlignment="1">
      <alignment horizontal="left" vertical="center" wrapText="1"/>
    </xf>
    <xf numFmtId="4" fontId="12" fillId="5" borderId="1" xfId="0" applyNumberFormat="1" applyFont="1" applyFill="1" applyBorder="1" applyAlignment="1">
      <alignment horizontal="right" vertical="center" wrapText="1"/>
    </xf>
    <xf numFmtId="4" fontId="12" fillId="4" borderId="1" xfId="0" applyNumberFormat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vertical="top" wrapText="1"/>
    </xf>
    <xf numFmtId="4" fontId="11" fillId="2" borderId="27" xfId="0" applyNumberFormat="1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4" fontId="17" fillId="2" borderId="27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4" fontId="28" fillId="5" borderId="19" xfId="0" applyNumberFormat="1" applyFont="1" applyFill="1" applyBorder="1" applyAlignment="1">
      <alignment horizontal="center" vertical="center" wrapText="1"/>
    </xf>
    <xf numFmtId="4" fontId="28" fillId="5" borderId="21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11" fillId="9" borderId="36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1" fillId="8" borderId="42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4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1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140625" style="36" customWidth="1"/>
    <col min="2" max="2" width="6.57421875" style="36" customWidth="1"/>
    <col min="3" max="3" width="4.8515625" style="36" customWidth="1"/>
    <col min="4" max="4" width="35.140625" style="36" customWidth="1"/>
    <col min="5" max="6" width="15.00390625" style="5" hidden="1" customWidth="1"/>
    <col min="7" max="7" width="15.00390625" style="225" hidden="1" customWidth="1"/>
    <col min="8" max="8" width="18.57421875" style="5" hidden="1" customWidth="1"/>
    <col min="9" max="9" width="13.421875" style="5" hidden="1" customWidth="1"/>
    <col min="10" max="10" width="12.28125" style="6" hidden="1" customWidth="1"/>
    <col min="11" max="11" width="12.421875" style="6" hidden="1" customWidth="1"/>
    <col min="12" max="13" width="13.00390625" style="6" hidden="1" customWidth="1"/>
    <col min="14" max="15" width="12.57421875" style="6" hidden="1" customWidth="1"/>
    <col min="16" max="16" width="11.421875" style="6" hidden="1" customWidth="1"/>
    <col min="17" max="17" width="14.00390625" style="3" customWidth="1"/>
    <col min="18" max="18" width="11.421875" style="6" customWidth="1"/>
    <col min="19" max="19" width="14.7109375" style="32" customWidth="1"/>
    <col min="20" max="20" width="42.421875" style="226" customWidth="1"/>
    <col min="21" max="16384" width="9.140625" style="36" customWidth="1"/>
  </cols>
  <sheetData>
    <row r="1" spans="1:20" ht="24.75" customHeight="1">
      <c r="A1" s="33" t="s">
        <v>238</v>
      </c>
      <c r="B1" s="35"/>
      <c r="C1" s="35"/>
      <c r="E1" s="1"/>
      <c r="F1" s="1"/>
      <c r="G1" s="223"/>
      <c r="H1" s="1"/>
      <c r="I1" s="1"/>
      <c r="J1" s="2"/>
      <c r="K1" s="2"/>
      <c r="L1" s="2"/>
      <c r="M1" s="2"/>
      <c r="N1" s="2"/>
      <c r="O1" s="2"/>
      <c r="P1" s="2"/>
      <c r="R1" s="2"/>
      <c r="S1" s="3"/>
      <c r="T1" s="4" t="s">
        <v>239</v>
      </c>
    </row>
    <row r="2" spans="1:19" ht="12.75">
      <c r="A2" s="224"/>
      <c r="B2" s="35"/>
      <c r="C2" s="35"/>
      <c r="S2" s="3"/>
    </row>
    <row r="3" spans="1:20" s="144" customFormat="1" ht="30" customHeight="1">
      <c r="A3" s="393" t="s">
        <v>0</v>
      </c>
      <c r="B3" s="393" t="s">
        <v>1</v>
      </c>
      <c r="C3" s="393" t="s">
        <v>2</v>
      </c>
      <c r="D3" s="393" t="s">
        <v>3</v>
      </c>
      <c r="E3" s="393" t="s">
        <v>240</v>
      </c>
      <c r="F3" s="393" t="s">
        <v>240</v>
      </c>
      <c r="G3" s="382" t="s">
        <v>241</v>
      </c>
      <c r="H3" s="393" t="s">
        <v>240</v>
      </c>
      <c r="I3" s="227" t="s">
        <v>5</v>
      </c>
      <c r="J3" s="228"/>
      <c r="K3" s="228"/>
      <c r="L3" s="229"/>
      <c r="M3" s="228"/>
      <c r="N3" s="152"/>
      <c r="O3" s="152"/>
      <c r="P3" s="152"/>
      <c r="Q3" s="437" t="s">
        <v>4</v>
      </c>
      <c r="R3" s="409" t="s">
        <v>5</v>
      </c>
      <c r="S3" s="410" t="s">
        <v>6</v>
      </c>
      <c r="T3" s="437" t="s">
        <v>7</v>
      </c>
    </row>
    <row r="4" spans="1:20" s="231" customFormat="1" ht="16.5" customHeight="1">
      <c r="A4" s="393"/>
      <c r="B4" s="393"/>
      <c r="C4" s="393"/>
      <c r="D4" s="393"/>
      <c r="E4" s="393"/>
      <c r="F4" s="393"/>
      <c r="G4" s="382"/>
      <c r="H4" s="393"/>
      <c r="I4" s="230" t="s">
        <v>242</v>
      </c>
      <c r="J4" s="230" t="s">
        <v>243</v>
      </c>
      <c r="K4" s="230" t="s">
        <v>244</v>
      </c>
      <c r="L4" s="230" t="s">
        <v>245</v>
      </c>
      <c r="M4" s="230" t="s">
        <v>246</v>
      </c>
      <c r="N4" s="230" t="s">
        <v>247</v>
      </c>
      <c r="O4" s="230" t="s">
        <v>248</v>
      </c>
      <c r="P4" s="230"/>
      <c r="Q4" s="437"/>
      <c r="R4" s="409"/>
      <c r="S4" s="410"/>
      <c r="T4" s="437"/>
    </row>
    <row r="5" spans="1:20" s="8" customFormat="1" ht="16.5" customHeight="1">
      <c r="A5" s="232"/>
      <c r="B5" s="232"/>
      <c r="C5" s="232"/>
      <c r="D5" s="233"/>
      <c r="E5" s="233"/>
      <c r="F5" s="233"/>
      <c r="G5" s="234"/>
      <c r="H5" s="233"/>
      <c r="I5" s="235"/>
      <c r="J5" s="235"/>
      <c r="K5" s="235"/>
      <c r="L5" s="235"/>
      <c r="M5" s="235"/>
      <c r="N5" s="235" t="s">
        <v>25</v>
      </c>
      <c r="O5" s="235"/>
      <c r="P5" s="235"/>
      <c r="Q5" s="236"/>
      <c r="R5" s="237"/>
      <c r="S5" s="236"/>
      <c r="T5" s="238"/>
    </row>
    <row r="6" spans="1:20" s="3" customFormat="1" ht="16.5" customHeight="1">
      <c r="A6" s="132" t="s">
        <v>27</v>
      </c>
      <c r="B6" s="133"/>
      <c r="C6" s="133"/>
      <c r="D6" s="239" t="s">
        <v>28</v>
      </c>
      <c r="E6" s="240">
        <f aca="true" t="shared" si="0" ref="E6:O7">E7</f>
        <v>17000</v>
      </c>
      <c r="F6" s="240">
        <f t="shared" si="0"/>
        <v>17000</v>
      </c>
      <c r="G6" s="241">
        <f t="shared" si="0"/>
        <v>17000</v>
      </c>
      <c r="H6" s="240">
        <f>H7+H9</f>
        <v>17000</v>
      </c>
      <c r="I6" s="242">
        <f>I7+I9</f>
        <v>3500</v>
      </c>
      <c r="J6" s="242">
        <f>J7</f>
        <v>0</v>
      </c>
      <c r="K6" s="242">
        <f>K7+K9</f>
        <v>157657</v>
      </c>
      <c r="L6" s="242">
        <f>L7</f>
        <v>0</v>
      </c>
      <c r="M6" s="242">
        <f t="shared" si="0"/>
        <v>0</v>
      </c>
      <c r="N6" s="242">
        <f>N7+N9</f>
        <v>320</v>
      </c>
      <c r="O6" s="241">
        <f>O7+O9</f>
        <v>-2500</v>
      </c>
      <c r="P6" s="242"/>
      <c r="Q6" s="240">
        <f>Q7+Q9</f>
        <v>175977</v>
      </c>
      <c r="R6" s="242">
        <f>R7+R9</f>
        <v>101456</v>
      </c>
      <c r="S6" s="240">
        <f>S7+S9</f>
        <v>277433</v>
      </c>
      <c r="T6" s="243"/>
    </row>
    <row r="7" spans="1:20" s="3" customFormat="1" ht="17.25" customHeight="1">
      <c r="A7" s="12"/>
      <c r="B7" s="40" t="s">
        <v>32</v>
      </c>
      <c r="C7" s="27"/>
      <c r="D7" s="131" t="s">
        <v>33</v>
      </c>
      <c r="E7" s="244">
        <f t="shared" si="0"/>
        <v>17000</v>
      </c>
      <c r="F7" s="244">
        <f t="shared" si="0"/>
        <v>17000</v>
      </c>
      <c r="G7" s="245">
        <f t="shared" si="0"/>
        <v>17000</v>
      </c>
      <c r="H7" s="244">
        <f t="shared" si="0"/>
        <v>17000</v>
      </c>
      <c r="I7" s="246">
        <f t="shared" si="0"/>
        <v>0</v>
      </c>
      <c r="J7" s="246">
        <f>J8</f>
        <v>0</v>
      </c>
      <c r="K7" s="246">
        <f t="shared" si="0"/>
        <v>0</v>
      </c>
      <c r="L7" s="42">
        <f>L8</f>
        <v>0</v>
      </c>
      <c r="M7" s="246">
        <f t="shared" si="0"/>
        <v>0</v>
      </c>
      <c r="N7" s="246">
        <f t="shared" si="0"/>
        <v>0</v>
      </c>
      <c r="O7" s="245">
        <f t="shared" si="0"/>
        <v>-17000</v>
      </c>
      <c r="P7" s="246"/>
      <c r="Q7" s="247">
        <f>Q8</f>
        <v>0</v>
      </c>
      <c r="R7" s="246">
        <f>R8</f>
        <v>0</v>
      </c>
      <c r="S7" s="248">
        <f>S8</f>
        <v>0</v>
      </c>
      <c r="T7" s="249"/>
    </row>
    <row r="8" spans="1:20" s="3" customFormat="1" ht="15" customHeight="1">
      <c r="A8" s="138"/>
      <c r="B8" s="15"/>
      <c r="C8" s="16" t="s">
        <v>119</v>
      </c>
      <c r="D8" s="17" t="s">
        <v>120</v>
      </c>
      <c r="E8" s="250">
        <v>17000</v>
      </c>
      <c r="F8" s="250">
        <v>17000</v>
      </c>
      <c r="G8" s="251">
        <v>17000</v>
      </c>
      <c r="H8" s="250">
        <v>17000</v>
      </c>
      <c r="I8" s="147"/>
      <c r="J8" s="147"/>
      <c r="K8" s="147"/>
      <c r="L8" s="147"/>
      <c r="M8" s="147"/>
      <c r="N8" s="147"/>
      <c r="O8" s="251">
        <v>-17000</v>
      </c>
      <c r="P8" s="147"/>
      <c r="Q8" s="252">
        <f>H8+I8+J8+K8+L8+M8+N8+O8+P8</f>
        <v>0</v>
      </c>
      <c r="R8" s="147"/>
      <c r="S8" s="19">
        <f>Q8+R8</f>
        <v>0</v>
      </c>
      <c r="T8" s="253"/>
    </row>
    <row r="9" spans="1:20" s="3" customFormat="1" ht="15" customHeight="1">
      <c r="A9" s="138"/>
      <c r="B9" s="64" t="s">
        <v>35</v>
      </c>
      <c r="C9" s="12"/>
      <c r="D9" s="13" t="s">
        <v>21</v>
      </c>
      <c r="E9" s="250"/>
      <c r="F9" s="250"/>
      <c r="G9" s="251"/>
      <c r="H9" s="54">
        <f>H10</f>
        <v>0</v>
      </c>
      <c r="I9" s="55">
        <f>I10</f>
        <v>3500</v>
      </c>
      <c r="J9" s="55"/>
      <c r="K9" s="145">
        <f>K10+K11</f>
        <v>157657</v>
      </c>
      <c r="L9" s="42">
        <f>L10</f>
        <v>0</v>
      </c>
      <c r="M9" s="42">
        <f>M10</f>
        <v>0</v>
      </c>
      <c r="N9" s="145">
        <f>N10+N11</f>
        <v>320</v>
      </c>
      <c r="O9" s="145">
        <f>O10+O11+O12</f>
        <v>14500</v>
      </c>
      <c r="P9" s="145"/>
      <c r="Q9" s="23">
        <f>Q10+Q11+Q12</f>
        <v>175977</v>
      </c>
      <c r="R9" s="145">
        <f>R10+R11+R12</f>
        <v>101456</v>
      </c>
      <c r="S9" s="24">
        <f>S10+S11+S12</f>
        <v>277433</v>
      </c>
      <c r="T9" s="254"/>
    </row>
    <row r="10" spans="1:20" s="3" customFormat="1" ht="76.5">
      <c r="A10" s="138"/>
      <c r="B10" s="15"/>
      <c r="C10" s="16" t="s">
        <v>121</v>
      </c>
      <c r="D10" s="17" t="s">
        <v>122</v>
      </c>
      <c r="E10" s="250"/>
      <c r="F10" s="250"/>
      <c r="G10" s="251"/>
      <c r="H10" s="250"/>
      <c r="I10" s="147">
        <v>3500</v>
      </c>
      <c r="J10" s="147"/>
      <c r="K10" s="147"/>
      <c r="L10" s="147"/>
      <c r="M10" s="147"/>
      <c r="N10" s="147">
        <v>320</v>
      </c>
      <c r="O10" s="147"/>
      <c r="P10" s="147"/>
      <c r="Q10" s="252">
        <f>H10+I10+J10+K10+L10+M10+N10+O10+P10</f>
        <v>3820</v>
      </c>
      <c r="R10" s="147">
        <v>80</v>
      </c>
      <c r="S10" s="19">
        <f>Q10+R10</f>
        <v>3900</v>
      </c>
      <c r="T10" s="253" t="s">
        <v>249</v>
      </c>
    </row>
    <row r="11" spans="1:20" s="3" customFormat="1" ht="78.75">
      <c r="A11" s="138"/>
      <c r="B11" s="15"/>
      <c r="C11" s="15">
        <v>2010</v>
      </c>
      <c r="D11" s="17" t="s">
        <v>13</v>
      </c>
      <c r="E11" s="250"/>
      <c r="F11" s="250"/>
      <c r="G11" s="251"/>
      <c r="H11" s="250"/>
      <c r="I11" s="147"/>
      <c r="J11" s="147"/>
      <c r="K11" s="147">
        <v>157657</v>
      </c>
      <c r="L11" s="147"/>
      <c r="M11" s="147"/>
      <c r="N11" s="147"/>
      <c r="O11" s="147"/>
      <c r="P11" s="147"/>
      <c r="Q11" s="252">
        <f>H11+I11+J11+K11+L11+M11+N11+O11+P11</f>
        <v>157657</v>
      </c>
      <c r="R11" s="147">
        <v>101376</v>
      </c>
      <c r="S11" s="19">
        <f>Q11+R11</f>
        <v>259033</v>
      </c>
      <c r="T11" s="253" t="s">
        <v>250</v>
      </c>
    </row>
    <row r="12" spans="1:20" s="3" customFormat="1" ht="51">
      <c r="A12" s="138"/>
      <c r="B12" s="15"/>
      <c r="C12" s="15">
        <v>2710</v>
      </c>
      <c r="D12" s="17" t="s">
        <v>197</v>
      </c>
      <c r="E12" s="250"/>
      <c r="F12" s="250"/>
      <c r="G12" s="251"/>
      <c r="H12" s="250"/>
      <c r="I12" s="147"/>
      <c r="J12" s="147"/>
      <c r="K12" s="147"/>
      <c r="L12" s="147"/>
      <c r="M12" s="147"/>
      <c r="N12" s="147"/>
      <c r="O12" s="147">
        <v>14500</v>
      </c>
      <c r="P12" s="147"/>
      <c r="Q12" s="252">
        <f>H12+I12+J12+K12+L12+M12+N12+O12+P12</f>
        <v>14500</v>
      </c>
      <c r="R12" s="147"/>
      <c r="S12" s="19">
        <f>Q12+R12</f>
        <v>14500</v>
      </c>
      <c r="T12" s="253"/>
    </row>
    <row r="13" spans="1:20" s="7" customFormat="1" ht="61.5" customHeight="1" hidden="1">
      <c r="A13" s="27"/>
      <c r="B13" s="27"/>
      <c r="C13" s="44">
        <v>6300</v>
      </c>
      <c r="D13" s="45" t="s">
        <v>251</v>
      </c>
      <c r="E13" s="146"/>
      <c r="F13" s="146"/>
      <c r="G13" s="255"/>
      <c r="H13" s="146"/>
      <c r="I13" s="143"/>
      <c r="J13" s="143"/>
      <c r="K13" s="143"/>
      <c r="L13" s="143"/>
      <c r="M13" s="143"/>
      <c r="N13" s="143"/>
      <c r="O13" s="143"/>
      <c r="P13" s="143"/>
      <c r="Q13" s="252">
        <f>H13+I13+J13+K13+L13+M13+N13</f>
        <v>0</v>
      </c>
      <c r="R13" s="143"/>
      <c r="S13" s="19">
        <f>J13+K13+L13+M13+N13+O13+P13</f>
        <v>0</v>
      </c>
      <c r="T13" s="253"/>
    </row>
    <row r="14" spans="1:20" s="7" customFormat="1" ht="15" customHeight="1">
      <c r="A14" s="9">
        <v>700</v>
      </c>
      <c r="B14" s="9"/>
      <c r="C14" s="9"/>
      <c r="D14" s="10" t="s">
        <v>8</v>
      </c>
      <c r="E14" s="135">
        <f aca="true" t="shared" si="1" ref="E14:S14">E15</f>
        <v>578229</v>
      </c>
      <c r="F14" s="135">
        <f t="shared" si="1"/>
        <v>1018229</v>
      </c>
      <c r="G14" s="153">
        <f t="shared" si="1"/>
        <v>1018229</v>
      </c>
      <c r="H14" s="135">
        <f t="shared" si="1"/>
        <v>1018229</v>
      </c>
      <c r="I14" s="153">
        <f t="shared" si="1"/>
        <v>-140000</v>
      </c>
      <c r="J14" s="11">
        <f t="shared" si="1"/>
        <v>0</v>
      </c>
      <c r="K14" s="11">
        <f t="shared" si="1"/>
        <v>602000</v>
      </c>
      <c r="L14" s="11">
        <f t="shared" si="1"/>
        <v>1850000</v>
      </c>
      <c r="M14" s="11">
        <f t="shared" si="1"/>
        <v>0</v>
      </c>
      <c r="N14" s="11">
        <f t="shared" si="1"/>
        <v>487000</v>
      </c>
      <c r="O14" s="11">
        <f t="shared" si="1"/>
        <v>10000</v>
      </c>
      <c r="P14" s="11"/>
      <c r="Q14" s="135">
        <f t="shared" si="1"/>
        <v>3827229</v>
      </c>
      <c r="R14" s="11">
        <f t="shared" si="1"/>
        <v>10700</v>
      </c>
      <c r="S14" s="135">
        <f t="shared" si="1"/>
        <v>3837929</v>
      </c>
      <c r="T14" s="256"/>
    </row>
    <row r="15" spans="1:20" s="7" customFormat="1" ht="12.75">
      <c r="A15" s="12"/>
      <c r="B15" s="12">
        <v>70005</v>
      </c>
      <c r="C15" s="12"/>
      <c r="D15" s="13" t="s">
        <v>9</v>
      </c>
      <c r="E15" s="136">
        <f>SUM(E16:E21)</f>
        <v>578229</v>
      </c>
      <c r="F15" s="136">
        <f>SUM(F16:F21)</f>
        <v>1018229</v>
      </c>
      <c r="G15" s="154">
        <f>SUM(G16:G21)</f>
        <v>1018229</v>
      </c>
      <c r="H15" s="136">
        <f>SUM(H16:H21)</f>
        <v>1018229</v>
      </c>
      <c r="I15" s="154">
        <f aca="true" t="shared" si="2" ref="I15:Q15">SUM(I16:I21)</f>
        <v>-140000</v>
      </c>
      <c r="J15" s="14">
        <f t="shared" si="2"/>
        <v>0</v>
      </c>
      <c r="K15" s="14">
        <f t="shared" si="2"/>
        <v>602000</v>
      </c>
      <c r="L15" s="14">
        <f t="shared" si="2"/>
        <v>1850000</v>
      </c>
      <c r="M15" s="14">
        <f t="shared" si="2"/>
        <v>0</v>
      </c>
      <c r="N15" s="14">
        <f t="shared" si="2"/>
        <v>487000</v>
      </c>
      <c r="O15" s="14">
        <f>SUM(O16:O21)</f>
        <v>10000</v>
      </c>
      <c r="P15" s="14"/>
      <c r="Q15" s="136">
        <f t="shared" si="2"/>
        <v>3827229</v>
      </c>
      <c r="R15" s="14">
        <f>SUM(R16:R21)</f>
        <v>10700</v>
      </c>
      <c r="S15" s="137">
        <f>SUM(S16:S21)</f>
        <v>3837929</v>
      </c>
      <c r="T15" s="254"/>
    </row>
    <row r="16" spans="1:20" s="7" customFormat="1" ht="36.75" customHeight="1">
      <c r="A16" s="12"/>
      <c r="B16" s="15"/>
      <c r="C16" s="16" t="s">
        <v>123</v>
      </c>
      <c r="D16" s="17" t="s">
        <v>124</v>
      </c>
      <c r="E16" s="146">
        <f>21299+17320+8000</f>
        <v>46619</v>
      </c>
      <c r="F16" s="146">
        <f>21299+17320+8000</f>
        <v>46619</v>
      </c>
      <c r="G16" s="255">
        <f>21299+17320+8000</f>
        <v>46619</v>
      </c>
      <c r="H16" s="146">
        <f>21299+17320+8000</f>
        <v>46619</v>
      </c>
      <c r="I16" s="143"/>
      <c r="J16" s="143"/>
      <c r="K16" s="143"/>
      <c r="L16" s="143"/>
      <c r="M16" s="143"/>
      <c r="N16" s="143">
        <v>1000</v>
      </c>
      <c r="O16" s="143"/>
      <c r="P16" s="143"/>
      <c r="Q16" s="252">
        <f aca="true" t="shared" si="3" ref="Q16:Q21">H16+I16+J16+K16+L16+M16+N16+O16+P16</f>
        <v>47619</v>
      </c>
      <c r="R16" s="143"/>
      <c r="S16" s="19">
        <f aca="true" t="shared" si="4" ref="S16:S21">Q16+R16</f>
        <v>47619</v>
      </c>
      <c r="T16" s="253"/>
    </row>
    <row r="17" spans="1:20" s="7" customFormat="1" ht="85.5" customHeight="1">
      <c r="A17" s="12"/>
      <c r="B17" s="15"/>
      <c r="C17" s="16" t="s">
        <v>121</v>
      </c>
      <c r="D17" s="17" t="s">
        <v>122</v>
      </c>
      <c r="E17" s="146">
        <f>200+14934+342+3788+36000+9120</f>
        <v>64384</v>
      </c>
      <c r="F17" s="146">
        <f>200+14934+342+3788+36000+9120+140000</f>
        <v>204384</v>
      </c>
      <c r="G17" s="255">
        <f>200+14934+342+3788+36000+9120+140000</f>
        <v>204384</v>
      </c>
      <c r="H17" s="146">
        <f>200+14934+342+3788+36000+9120+140000</f>
        <v>204384</v>
      </c>
      <c r="I17" s="255">
        <v>-140000</v>
      </c>
      <c r="J17" s="143"/>
      <c r="K17" s="143"/>
      <c r="L17" s="143"/>
      <c r="M17" s="143"/>
      <c r="N17" s="143">
        <v>5000</v>
      </c>
      <c r="O17" s="143">
        <v>10000</v>
      </c>
      <c r="P17" s="143"/>
      <c r="Q17" s="252">
        <f t="shared" si="3"/>
        <v>79384</v>
      </c>
      <c r="R17" s="143">
        <v>10000</v>
      </c>
      <c r="S17" s="19">
        <f t="shared" si="4"/>
        <v>89384</v>
      </c>
      <c r="T17" s="20" t="s">
        <v>252</v>
      </c>
    </row>
    <row r="18" spans="1:20" s="7" customFormat="1" ht="47.25" customHeight="1">
      <c r="A18" s="12"/>
      <c r="B18" s="15"/>
      <c r="C18" s="16" t="s">
        <v>125</v>
      </c>
      <c r="D18" s="17" t="s">
        <v>126</v>
      </c>
      <c r="E18" s="146">
        <f>450000+12426</f>
        <v>462426</v>
      </c>
      <c r="F18" s="146">
        <f>450000+12426+300000</f>
        <v>762426</v>
      </c>
      <c r="G18" s="255">
        <f>450000+12426+300000</f>
        <v>762426</v>
      </c>
      <c r="H18" s="146">
        <f>450000+12426+300000</f>
        <v>762426</v>
      </c>
      <c r="I18" s="143"/>
      <c r="J18" s="143"/>
      <c r="K18" s="143">
        <v>600000</v>
      </c>
      <c r="L18" s="143"/>
      <c r="M18" s="143"/>
      <c r="N18" s="143">
        <v>480000</v>
      </c>
      <c r="O18" s="143"/>
      <c r="P18" s="143"/>
      <c r="Q18" s="252">
        <f t="shared" si="3"/>
        <v>1842426</v>
      </c>
      <c r="R18" s="143"/>
      <c r="S18" s="19">
        <f t="shared" si="4"/>
        <v>1842426</v>
      </c>
      <c r="T18" s="253"/>
    </row>
    <row r="19" spans="1:20" s="7" customFormat="1" ht="25.5">
      <c r="A19" s="12"/>
      <c r="B19" s="15"/>
      <c r="C19" s="16" t="s">
        <v>127</v>
      </c>
      <c r="D19" s="17" t="s">
        <v>128</v>
      </c>
      <c r="E19" s="146"/>
      <c r="F19" s="146"/>
      <c r="G19" s="255"/>
      <c r="H19" s="146"/>
      <c r="I19" s="143"/>
      <c r="J19" s="143"/>
      <c r="K19" s="143"/>
      <c r="L19" s="143">
        <v>1850000</v>
      </c>
      <c r="M19" s="143"/>
      <c r="N19" s="143"/>
      <c r="O19" s="143"/>
      <c r="P19" s="143"/>
      <c r="Q19" s="252">
        <f t="shared" si="3"/>
        <v>1850000</v>
      </c>
      <c r="R19" s="143"/>
      <c r="S19" s="19">
        <f t="shared" si="4"/>
        <v>1850000</v>
      </c>
      <c r="T19" s="253"/>
    </row>
    <row r="20" spans="1:20" s="7" customFormat="1" ht="25.5">
      <c r="A20" s="12"/>
      <c r="B20" s="15"/>
      <c r="C20" s="16" t="s">
        <v>129</v>
      </c>
      <c r="D20" s="17" t="s">
        <v>130</v>
      </c>
      <c r="E20" s="146">
        <v>1600</v>
      </c>
      <c r="F20" s="146">
        <v>1600</v>
      </c>
      <c r="G20" s="255">
        <v>1600</v>
      </c>
      <c r="H20" s="146">
        <v>1600</v>
      </c>
      <c r="I20" s="143"/>
      <c r="J20" s="143"/>
      <c r="K20" s="143">
        <v>2000</v>
      </c>
      <c r="L20" s="143"/>
      <c r="M20" s="143"/>
      <c r="N20" s="143">
        <v>200</v>
      </c>
      <c r="O20" s="143"/>
      <c r="P20" s="143"/>
      <c r="Q20" s="252">
        <f t="shared" si="3"/>
        <v>3800</v>
      </c>
      <c r="R20" s="143">
        <v>500</v>
      </c>
      <c r="S20" s="19">
        <f t="shared" si="4"/>
        <v>4300</v>
      </c>
      <c r="T20" s="20" t="s">
        <v>253</v>
      </c>
    </row>
    <row r="21" spans="1:20" s="7" customFormat="1" ht="33.75">
      <c r="A21" s="12"/>
      <c r="B21" s="15"/>
      <c r="C21" s="16" t="s">
        <v>10</v>
      </c>
      <c r="D21" s="17" t="s">
        <v>11</v>
      </c>
      <c r="E21" s="146">
        <v>3200</v>
      </c>
      <c r="F21" s="146">
        <v>3200</v>
      </c>
      <c r="G21" s="255">
        <v>3200</v>
      </c>
      <c r="H21" s="146">
        <v>3200</v>
      </c>
      <c r="I21" s="143"/>
      <c r="J21" s="143"/>
      <c r="K21" s="143"/>
      <c r="L21" s="143"/>
      <c r="M21" s="143"/>
      <c r="N21" s="143">
        <v>800</v>
      </c>
      <c r="O21" s="143"/>
      <c r="P21" s="143"/>
      <c r="Q21" s="252">
        <f t="shared" si="3"/>
        <v>4000</v>
      </c>
      <c r="R21" s="143">
        <v>200</v>
      </c>
      <c r="S21" s="19">
        <f t="shared" si="4"/>
        <v>4200</v>
      </c>
      <c r="T21" s="20" t="s">
        <v>254</v>
      </c>
    </row>
    <row r="22" spans="1:20" s="7" customFormat="1" ht="51">
      <c r="A22" s="9">
        <v>756</v>
      </c>
      <c r="B22" s="9"/>
      <c r="C22" s="9"/>
      <c r="D22" s="10" t="s">
        <v>134</v>
      </c>
      <c r="E22" s="135">
        <f>E23+E33+E44+E50+E26</f>
        <v>7302602</v>
      </c>
      <c r="F22" s="135">
        <f>F23+F33+F44+F50+F26</f>
        <v>7318492</v>
      </c>
      <c r="G22" s="153">
        <f>G23+G33+G44+G50+G26</f>
        <v>7318492</v>
      </c>
      <c r="H22" s="135">
        <f>H23+H33+H44+H50+H26</f>
        <v>7318492</v>
      </c>
      <c r="I22" s="11">
        <f aca="true" t="shared" si="5" ref="I22:Q22">I23+I33+I44+I50+I26</f>
        <v>251792</v>
      </c>
      <c r="J22" s="11">
        <f t="shared" si="5"/>
        <v>30000</v>
      </c>
      <c r="K22" s="11">
        <f t="shared" si="5"/>
        <v>92900</v>
      </c>
      <c r="L22" s="11">
        <f t="shared" si="5"/>
        <v>94775</v>
      </c>
      <c r="M22" s="11">
        <f t="shared" si="5"/>
        <v>0</v>
      </c>
      <c r="N22" s="11">
        <f t="shared" si="5"/>
        <v>55000</v>
      </c>
      <c r="O22" s="153">
        <f>O23+O33+O44+O50+O26</f>
        <v>189850</v>
      </c>
      <c r="P22" s="11"/>
      <c r="Q22" s="135">
        <f t="shared" si="5"/>
        <v>8032809</v>
      </c>
      <c r="R22" s="11">
        <f>R23+R33+R44+R50+R26</f>
        <v>282756</v>
      </c>
      <c r="S22" s="135">
        <f>S23+S33+S44+S50+S26</f>
        <v>8315565</v>
      </c>
      <c r="T22" s="256"/>
    </row>
    <row r="23" spans="1:20" s="156" customFormat="1" ht="25.5">
      <c r="A23" s="22"/>
      <c r="B23" s="22">
        <v>75601</v>
      </c>
      <c r="C23" s="22"/>
      <c r="D23" s="140" t="s">
        <v>135</v>
      </c>
      <c r="E23" s="136">
        <f>E24+E25</f>
        <v>7100</v>
      </c>
      <c r="F23" s="136">
        <f>F24+F25</f>
        <v>7100</v>
      </c>
      <c r="G23" s="154">
        <f>G24+G25</f>
        <v>7100</v>
      </c>
      <c r="H23" s="136">
        <f>H24+H25</f>
        <v>7100</v>
      </c>
      <c r="I23" s="14">
        <f aca="true" t="shared" si="6" ref="I23:N23">I24+I25</f>
        <v>0</v>
      </c>
      <c r="J23" s="14">
        <f t="shared" si="6"/>
        <v>0</v>
      </c>
      <c r="K23" s="14">
        <f t="shared" si="6"/>
        <v>0</v>
      </c>
      <c r="L23" s="154">
        <f t="shared" si="6"/>
        <v>-3225</v>
      </c>
      <c r="M23" s="14">
        <f t="shared" si="6"/>
        <v>0</v>
      </c>
      <c r="N23" s="14">
        <f t="shared" si="6"/>
        <v>0</v>
      </c>
      <c r="O23" s="14">
        <f>O24+O25</f>
        <v>0</v>
      </c>
      <c r="P23" s="14"/>
      <c r="Q23" s="136">
        <f>SUM(Q24:Q25)</f>
        <v>3875</v>
      </c>
      <c r="R23" s="14">
        <f>R24+R25</f>
        <v>2600</v>
      </c>
      <c r="S23" s="137">
        <f>SUM(S24:S25)</f>
        <v>6475</v>
      </c>
      <c r="T23" s="254"/>
    </row>
    <row r="24" spans="1:20" s="7" customFormat="1" ht="38.25">
      <c r="A24" s="12"/>
      <c r="B24" s="15"/>
      <c r="C24" s="16" t="s">
        <v>136</v>
      </c>
      <c r="D24" s="17" t="s">
        <v>137</v>
      </c>
      <c r="E24" s="146">
        <v>7000</v>
      </c>
      <c r="F24" s="146">
        <v>7000</v>
      </c>
      <c r="G24" s="255">
        <v>7000</v>
      </c>
      <c r="H24" s="146">
        <v>7000</v>
      </c>
      <c r="I24" s="143"/>
      <c r="J24" s="143"/>
      <c r="K24" s="143"/>
      <c r="L24" s="255">
        <v>-3225</v>
      </c>
      <c r="M24" s="143"/>
      <c r="N24" s="143"/>
      <c r="O24" s="143"/>
      <c r="P24" s="143"/>
      <c r="Q24" s="252">
        <f>H24+I24+J24+K24+L24+M24+N24+O24+P24</f>
        <v>3775</v>
      </c>
      <c r="R24" s="143">
        <v>2500</v>
      </c>
      <c r="S24" s="19">
        <f>Q24+R24</f>
        <v>6275</v>
      </c>
      <c r="T24" s="435" t="s">
        <v>255</v>
      </c>
    </row>
    <row r="25" spans="1:20" s="7" customFormat="1" ht="25.5">
      <c r="A25" s="12"/>
      <c r="B25" s="15"/>
      <c r="C25" s="16" t="s">
        <v>129</v>
      </c>
      <c r="D25" s="17" t="s">
        <v>130</v>
      </c>
      <c r="E25" s="146">
        <v>100</v>
      </c>
      <c r="F25" s="146">
        <v>100</v>
      </c>
      <c r="G25" s="255">
        <v>100</v>
      </c>
      <c r="H25" s="146">
        <v>100</v>
      </c>
      <c r="I25" s="143"/>
      <c r="J25" s="143"/>
      <c r="K25" s="143"/>
      <c r="L25" s="143"/>
      <c r="M25" s="143"/>
      <c r="N25" s="143"/>
      <c r="O25" s="143"/>
      <c r="P25" s="143"/>
      <c r="Q25" s="252">
        <f>H25+I25+J25+K25+L25+M25+N25+O25+P25</f>
        <v>100</v>
      </c>
      <c r="R25" s="143">
        <v>100</v>
      </c>
      <c r="S25" s="19">
        <f>Q25+R25</f>
        <v>200</v>
      </c>
      <c r="T25" s="436"/>
    </row>
    <row r="26" spans="1:20" s="7" customFormat="1" ht="63.75">
      <c r="A26" s="12"/>
      <c r="B26" s="12">
        <v>75615</v>
      </c>
      <c r="C26" s="12"/>
      <c r="D26" s="13" t="s">
        <v>138</v>
      </c>
      <c r="E26" s="185">
        <f>SUM(E27:E32)</f>
        <v>2114434</v>
      </c>
      <c r="F26" s="185">
        <f>SUM(F27:F32)</f>
        <v>2114434</v>
      </c>
      <c r="G26" s="257">
        <f>SUM(G27:G32)</f>
        <v>2114434</v>
      </c>
      <c r="H26" s="185">
        <f>SUM(H27:H32)</f>
        <v>2114434</v>
      </c>
      <c r="I26" s="257">
        <f aca="true" t="shared" si="7" ref="I26:Q26">SUM(I27:I32)</f>
        <v>-24016</v>
      </c>
      <c r="J26" s="183">
        <f t="shared" si="7"/>
        <v>0</v>
      </c>
      <c r="K26" s="257">
        <f t="shared" si="7"/>
        <v>-1000</v>
      </c>
      <c r="L26" s="257">
        <f t="shared" si="7"/>
        <v>-2000</v>
      </c>
      <c r="M26" s="183">
        <f t="shared" si="7"/>
        <v>0</v>
      </c>
      <c r="N26" s="183">
        <f t="shared" si="7"/>
        <v>4500</v>
      </c>
      <c r="O26" s="257">
        <f>SUM(O27:O32)</f>
        <v>-6823</v>
      </c>
      <c r="P26" s="183"/>
      <c r="Q26" s="23">
        <f t="shared" si="7"/>
        <v>2085095</v>
      </c>
      <c r="R26" s="183">
        <f>SUM(R27:R32)</f>
        <v>0</v>
      </c>
      <c r="S26" s="24">
        <f>SUM(S27:S32)</f>
        <v>2085095</v>
      </c>
      <c r="T26" s="254"/>
    </row>
    <row r="27" spans="1:20" s="7" customFormat="1" ht="14.25" customHeight="1">
      <c r="A27" s="12"/>
      <c r="B27" s="15"/>
      <c r="C27" s="16" t="s">
        <v>139</v>
      </c>
      <c r="D27" s="17" t="s">
        <v>140</v>
      </c>
      <c r="E27" s="146">
        <v>1680675</v>
      </c>
      <c r="F27" s="146">
        <v>1680675</v>
      </c>
      <c r="G27" s="255">
        <v>1680675</v>
      </c>
      <c r="H27" s="146">
        <v>1680675</v>
      </c>
      <c r="I27" s="143">
        <v>11810</v>
      </c>
      <c r="J27" s="143"/>
      <c r="K27" s="143"/>
      <c r="L27" s="143"/>
      <c r="M27" s="143"/>
      <c r="N27" s="143"/>
      <c r="O27" s="143"/>
      <c r="P27" s="143"/>
      <c r="Q27" s="252">
        <f aca="true" t="shared" si="8" ref="Q27:Q32">H27+I27+J27+K27+L27+M27+N27+O27+P27</f>
        <v>1692485</v>
      </c>
      <c r="R27" s="143"/>
      <c r="S27" s="19">
        <f aca="true" t="shared" si="9" ref="S27:S32">Q27+R27</f>
        <v>1692485</v>
      </c>
      <c r="T27" s="253"/>
    </row>
    <row r="28" spans="1:20" s="7" customFormat="1" ht="15.75" customHeight="1">
      <c r="A28" s="12"/>
      <c r="B28" s="15"/>
      <c r="C28" s="16" t="s">
        <v>141</v>
      </c>
      <c r="D28" s="17" t="s">
        <v>142</v>
      </c>
      <c r="E28" s="146">
        <v>360374</v>
      </c>
      <c r="F28" s="146">
        <v>360374</v>
      </c>
      <c r="G28" s="255">
        <v>360374</v>
      </c>
      <c r="H28" s="146">
        <v>360374</v>
      </c>
      <c r="I28" s="255">
        <f>-30548-7876</f>
        <v>-38424</v>
      </c>
      <c r="J28" s="143"/>
      <c r="K28" s="143"/>
      <c r="L28" s="143"/>
      <c r="M28" s="143"/>
      <c r="N28" s="143"/>
      <c r="O28" s="143"/>
      <c r="P28" s="143"/>
      <c r="Q28" s="252">
        <f t="shared" si="8"/>
        <v>321950</v>
      </c>
      <c r="R28" s="143"/>
      <c r="S28" s="19">
        <f t="shared" si="9"/>
        <v>321950</v>
      </c>
      <c r="T28" s="253"/>
    </row>
    <row r="29" spans="1:20" s="7" customFormat="1" ht="15.75" customHeight="1">
      <c r="A29" s="12"/>
      <c r="B29" s="15"/>
      <c r="C29" s="16" t="s">
        <v>143</v>
      </c>
      <c r="D29" s="17" t="s">
        <v>144</v>
      </c>
      <c r="E29" s="146">
        <v>30385</v>
      </c>
      <c r="F29" s="146">
        <v>30385</v>
      </c>
      <c r="G29" s="255">
        <v>30385</v>
      </c>
      <c r="H29" s="146">
        <v>30385</v>
      </c>
      <c r="I29" s="143">
        <v>598</v>
      </c>
      <c r="J29" s="143"/>
      <c r="K29" s="143"/>
      <c r="L29" s="143"/>
      <c r="M29" s="143"/>
      <c r="N29" s="143"/>
      <c r="O29" s="143"/>
      <c r="P29" s="143"/>
      <c r="Q29" s="252">
        <f t="shared" si="8"/>
        <v>30983</v>
      </c>
      <c r="R29" s="143"/>
      <c r="S29" s="19">
        <f t="shared" si="9"/>
        <v>30983</v>
      </c>
      <c r="T29" s="253"/>
    </row>
    <row r="30" spans="1:20" s="7" customFormat="1" ht="15.75" customHeight="1">
      <c r="A30" s="12"/>
      <c r="B30" s="15"/>
      <c r="C30" s="16" t="s">
        <v>145</v>
      </c>
      <c r="D30" s="17" t="s">
        <v>146</v>
      </c>
      <c r="E30" s="146">
        <v>35000</v>
      </c>
      <c r="F30" s="146">
        <v>35000</v>
      </c>
      <c r="G30" s="255">
        <v>35000</v>
      </c>
      <c r="H30" s="146">
        <v>35000</v>
      </c>
      <c r="I30" s="143"/>
      <c r="J30" s="143"/>
      <c r="K30" s="143"/>
      <c r="L30" s="143"/>
      <c r="M30" s="143"/>
      <c r="N30" s="143"/>
      <c r="O30" s="255">
        <v>-6823</v>
      </c>
      <c r="P30" s="143"/>
      <c r="Q30" s="252">
        <f t="shared" si="8"/>
        <v>28177</v>
      </c>
      <c r="R30" s="143"/>
      <c r="S30" s="19">
        <f t="shared" si="9"/>
        <v>28177</v>
      </c>
      <c r="T30" s="253"/>
    </row>
    <row r="31" spans="1:20" s="7" customFormat="1" ht="19.5" customHeight="1">
      <c r="A31" s="12"/>
      <c r="B31" s="15"/>
      <c r="C31" s="16" t="s">
        <v>147</v>
      </c>
      <c r="D31" s="17" t="s">
        <v>148</v>
      </c>
      <c r="E31" s="146">
        <v>5000</v>
      </c>
      <c r="F31" s="146">
        <v>5000</v>
      </c>
      <c r="G31" s="255">
        <v>5000</v>
      </c>
      <c r="H31" s="146">
        <v>5000</v>
      </c>
      <c r="I31" s="143"/>
      <c r="J31" s="143"/>
      <c r="K31" s="255">
        <v>-2000</v>
      </c>
      <c r="L31" s="255">
        <v>-2000</v>
      </c>
      <c r="M31" s="143"/>
      <c r="N31" s="143">
        <v>3500</v>
      </c>
      <c r="O31" s="143"/>
      <c r="P31" s="143"/>
      <c r="Q31" s="252">
        <f t="shared" si="8"/>
        <v>4500</v>
      </c>
      <c r="R31" s="143"/>
      <c r="S31" s="19">
        <f t="shared" si="9"/>
        <v>4500</v>
      </c>
      <c r="T31" s="253"/>
    </row>
    <row r="32" spans="1:20" s="7" customFormat="1" ht="27.75" customHeight="1">
      <c r="A32" s="12"/>
      <c r="B32" s="15"/>
      <c r="C32" s="16" t="s">
        <v>129</v>
      </c>
      <c r="D32" s="17" t="s">
        <v>130</v>
      </c>
      <c r="E32" s="146">
        <v>3000</v>
      </c>
      <c r="F32" s="146">
        <v>3000</v>
      </c>
      <c r="G32" s="255">
        <v>3000</v>
      </c>
      <c r="H32" s="146">
        <v>3000</v>
      </c>
      <c r="I32" s="143">
        <v>2000</v>
      </c>
      <c r="J32" s="143"/>
      <c r="K32" s="143">
        <v>1000</v>
      </c>
      <c r="L32" s="143"/>
      <c r="M32" s="143"/>
      <c r="N32" s="143">
        <v>1000</v>
      </c>
      <c r="O32" s="143"/>
      <c r="P32" s="143"/>
      <c r="Q32" s="252">
        <f t="shared" si="8"/>
        <v>7000</v>
      </c>
      <c r="R32" s="143"/>
      <c r="S32" s="19">
        <f t="shared" si="9"/>
        <v>7000</v>
      </c>
      <c r="T32" s="253"/>
    </row>
    <row r="33" spans="1:20" s="7" customFormat="1" ht="76.5">
      <c r="A33" s="12"/>
      <c r="B33" s="12">
        <v>75616</v>
      </c>
      <c r="C33" s="12"/>
      <c r="D33" s="13" t="s">
        <v>149</v>
      </c>
      <c r="E33" s="185">
        <f>SUM(E34:E43)</f>
        <v>1510502</v>
      </c>
      <c r="F33" s="185">
        <f>SUM(F34:F43)</f>
        <v>1510502</v>
      </c>
      <c r="G33" s="257">
        <f>SUM(G34:G43)</f>
        <v>1510502</v>
      </c>
      <c r="H33" s="185">
        <f>SUM(H34:H43)</f>
        <v>1510502</v>
      </c>
      <c r="I33" s="183">
        <f aca="true" t="shared" si="10" ref="I33:Q33">SUM(I34:I43)</f>
        <v>109711</v>
      </c>
      <c r="J33" s="183">
        <f t="shared" si="10"/>
        <v>30000</v>
      </c>
      <c r="K33" s="183">
        <f t="shared" si="10"/>
        <v>80000</v>
      </c>
      <c r="L33" s="183">
        <f t="shared" si="10"/>
        <v>100000</v>
      </c>
      <c r="M33" s="183">
        <f t="shared" si="10"/>
        <v>0</v>
      </c>
      <c r="N33" s="183">
        <f t="shared" si="10"/>
        <v>500</v>
      </c>
      <c r="O33" s="183">
        <f>SUM(O34:O43)</f>
        <v>2500</v>
      </c>
      <c r="P33" s="183"/>
      <c r="Q33" s="136">
        <f t="shared" si="10"/>
        <v>1833213</v>
      </c>
      <c r="R33" s="183">
        <f>SUM(R34:R43)</f>
        <v>48500</v>
      </c>
      <c r="S33" s="137">
        <f>SUM(S34:S43)</f>
        <v>1881713</v>
      </c>
      <c r="T33" s="254"/>
    </row>
    <row r="34" spans="1:20" s="7" customFormat="1" ht="18" customHeight="1">
      <c r="A34" s="12"/>
      <c r="B34" s="12"/>
      <c r="C34" s="16" t="s">
        <v>139</v>
      </c>
      <c r="D34" s="17" t="s">
        <v>140</v>
      </c>
      <c r="E34" s="146">
        <v>791515</v>
      </c>
      <c r="F34" s="146">
        <v>791515</v>
      </c>
      <c r="G34" s="255">
        <v>791515</v>
      </c>
      <c r="H34" s="146">
        <v>791515</v>
      </c>
      <c r="I34" s="143">
        <v>62800</v>
      </c>
      <c r="J34" s="143"/>
      <c r="K34" s="143"/>
      <c r="L34" s="143"/>
      <c r="M34" s="143"/>
      <c r="N34" s="143"/>
      <c r="O34" s="143"/>
      <c r="P34" s="143"/>
      <c r="Q34" s="252">
        <f aca="true" t="shared" si="11" ref="Q34:Q43">H34+I34+J34+K34+L34+M34+N34+O34+P34</f>
        <v>854315</v>
      </c>
      <c r="R34" s="143"/>
      <c r="S34" s="19">
        <f aca="true" t="shared" si="12" ref="S34:S43">Q34+R34</f>
        <v>854315</v>
      </c>
      <c r="T34" s="253"/>
    </row>
    <row r="35" spans="1:20" s="7" customFormat="1" ht="15.75" customHeight="1">
      <c r="A35" s="12"/>
      <c r="B35" s="12"/>
      <c r="C35" s="16" t="s">
        <v>141</v>
      </c>
      <c r="D35" s="17" t="s">
        <v>142</v>
      </c>
      <c r="E35" s="146">
        <v>444009</v>
      </c>
      <c r="F35" s="146">
        <v>444009</v>
      </c>
      <c r="G35" s="255">
        <v>444009</v>
      </c>
      <c r="H35" s="146">
        <v>444009</v>
      </c>
      <c r="I35" s="143">
        <v>7000</v>
      </c>
      <c r="J35" s="143"/>
      <c r="K35" s="143"/>
      <c r="L35" s="143"/>
      <c r="M35" s="143"/>
      <c r="N35" s="143"/>
      <c r="O35" s="143"/>
      <c r="P35" s="143"/>
      <c r="Q35" s="252">
        <f t="shared" si="11"/>
        <v>451009</v>
      </c>
      <c r="R35" s="143"/>
      <c r="S35" s="19">
        <f t="shared" si="12"/>
        <v>451009</v>
      </c>
      <c r="T35" s="253"/>
    </row>
    <row r="36" spans="1:20" s="7" customFormat="1" ht="15" customHeight="1">
      <c r="A36" s="12"/>
      <c r="B36" s="12"/>
      <c r="C36" s="16" t="s">
        <v>143</v>
      </c>
      <c r="D36" s="17" t="s">
        <v>144</v>
      </c>
      <c r="E36" s="146">
        <v>1478</v>
      </c>
      <c r="F36" s="146">
        <v>1478</v>
      </c>
      <c r="G36" s="255">
        <v>1478</v>
      </c>
      <c r="H36" s="146">
        <v>1478</v>
      </c>
      <c r="I36" s="255">
        <v>-89</v>
      </c>
      <c r="J36" s="143"/>
      <c r="K36" s="143"/>
      <c r="L36" s="143"/>
      <c r="M36" s="143"/>
      <c r="N36" s="143"/>
      <c r="O36" s="143"/>
      <c r="P36" s="143"/>
      <c r="Q36" s="252">
        <f t="shared" si="11"/>
        <v>1389</v>
      </c>
      <c r="R36" s="143"/>
      <c r="S36" s="19">
        <f t="shared" si="12"/>
        <v>1389</v>
      </c>
      <c r="T36" s="253"/>
    </row>
    <row r="37" spans="1:20" s="7" customFormat="1" ht="15.75" customHeight="1">
      <c r="A37" s="12"/>
      <c r="B37" s="12"/>
      <c r="C37" s="16" t="s">
        <v>145</v>
      </c>
      <c r="D37" s="17" t="s">
        <v>146</v>
      </c>
      <c r="E37" s="146">
        <v>120000</v>
      </c>
      <c r="F37" s="146">
        <v>120000</v>
      </c>
      <c r="G37" s="255">
        <v>120000</v>
      </c>
      <c r="H37" s="146">
        <v>120000</v>
      </c>
      <c r="I37" s="143"/>
      <c r="J37" s="143"/>
      <c r="K37" s="143"/>
      <c r="L37" s="143"/>
      <c r="M37" s="143"/>
      <c r="N37" s="143"/>
      <c r="O37" s="143"/>
      <c r="P37" s="143"/>
      <c r="Q37" s="252">
        <f t="shared" si="11"/>
        <v>120000</v>
      </c>
      <c r="R37" s="143"/>
      <c r="S37" s="19">
        <f t="shared" si="12"/>
        <v>120000</v>
      </c>
      <c r="T37" s="253"/>
    </row>
    <row r="38" spans="1:20" s="7" customFormat="1" ht="22.5">
      <c r="A38" s="12"/>
      <c r="B38" s="15"/>
      <c r="C38" s="16" t="s">
        <v>150</v>
      </c>
      <c r="D38" s="17" t="s">
        <v>151</v>
      </c>
      <c r="E38" s="146">
        <v>1500</v>
      </c>
      <c r="F38" s="146">
        <v>1500</v>
      </c>
      <c r="G38" s="255">
        <v>1500</v>
      </c>
      <c r="H38" s="146">
        <v>1500</v>
      </c>
      <c r="I38" s="143"/>
      <c r="J38" s="143"/>
      <c r="K38" s="143">
        <v>10000</v>
      </c>
      <c r="L38" s="143"/>
      <c r="M38" s="143"/>
      <c r="N38" s="143"/>
      <c r="O38" s="143">
        <v>2000</v>
      </c>
      <c r="P38" s="143"/>
      <c r="Q38" s="252">
        <f t="shared" si="11"/>
        <v>13500</v>
      </c>
      <c r="R38" s="143">
        <v>6000</v>
      </c>
      <c r="S38" s="19">
        <f t="shared" si="12"/>
        <v>19500</v>
      </c>
      <c r="T38" s="253" t="s">
        <v>256</v>
      </c>
    </row>
    <row r="39" spans="1:20" s="7" customFormat="1" ht="14.25" customHeight="1">
      <c r="A39" s="12"/>
      <c r="B39" s="15"/>
      <c r="C39" s="16" t="s">
        <v>152</v>
      </c>
      <c r="D39" s="17" t="s">
        <v>153</v>
      </c>
      <c r="E39" s="146">
        <v>14000</v>
      </c>
      <c r="F39" s="146">
        <v>14000</v>
      </c>
      <c r="G39" s="255">
        <v>14000</v>
      </c>
      <c r="H39" s="146">
        <v>14000</v>
      </c>
      <c r="I39" s="143"/>
      <c r="J39" s="143"/>
      <c r="K39" s="143"/>
      <c r="L39" s="143"/>
      <c r="M39" s="143"/>
      <c r="N39" s="143"/>
      <c r="O39" s="143"/>
      <c r="P39" s="143"/>
      <c r="Q39" s="252">
        <f t="shared" si="11"/>
        <v>14000</v>
      </c>
      <c r="R39" s="143"/>
      <c r="S39" s="19">
        <f t="shared" si="12"/>
        <v>14000</v>
      </c>
      <c r="T39" s="253"/>
    </row>
    <row r="40" spans="1:20" s="7" customFormat="1" ht="18.75" customHeight="1">
      <c r="A40" s="12"/>
      <c r="B40" s="15"/>
      <c r="C40" s="16" t="s">
        <v>154</v>
      </c>
      <c r="D40" s="17" t="s">
        <v>155</v>
      </c>
      <c r="E40" s="146">
        <v>20000</v>
      </c>
      <c r="F40" s="146">
        <v>20000</v>
      </c>
      <c r="G40" s="255">
        <v>20000</v>
      </c>
      <c r="H40" s="146">
        <v>20000</v>
      </c>
      <c r="I40" s="143"/>
      <c r="J40" s="143"/>
      <c r="K40" s="143"/>
      <c r="L40" s="143"/>
      <c r="M40" s="143"/>
      <c r="N40" s="143"/>
      <c r="O40" s="143"/>
      <c r="P40" s="143"/>
      <c r="Q40" s="252">
        <f t="shared" si="11"/>
        <v>20000</v>
      </c>
      <c r="R40" s="143"/>
      <c r="S40" s="19">
        <f t="shared" si="12"/>
        <v>20000</v>
      </c>
      <c r="T40" s="253"/>
    </row>
    <row r="41" spans="1:20" s="7" customFormat="1" ht="25.5" customHeight="1">
      <c r="A41" s="15"/>
      <c r="B41" s="15"/>
      <c r="C41" s="16" t="s">
        <v>156</v>
      </c>
      <c r="D41" s="17" t="s">
        <v>157</v>
      </c>
      <c r="E41" s="146">
        <v>5000</v>
      </c>
      <c r="F41" s="146">
        <v>5000</v>
      </c>
      <c r="G41" s="255">
        <v>5000</v>
      </c>
      <c r="H41" s="146">
        <v>5000</v>
      </c>
      <c r="I41" s="255">
        <v>-5000</v>
      </c>
      <c r="J41" s="143"/>
      <c r="K41" s="143"/>
      <c r="L41" s="143"/>
      <c r="M41" s="143"/>
      <c r="N41" s="143"/>
      <c r="O41" s="143"/>
      <c r="P41" s="143"/>
      <c r="Q41" s="252">
        <f t="shared" si="11"/>
        <v>0</v>
      </c>
      <c r="R41" s="143"/>
      <c r="S41" s="19">
        <f t="shared" si="12"/>
        <v>0</v>
      </c>
      <c r="T41" s="253"/>
    </row>
    <row r="42" spans="1:20" s="7" customFormat="1" ht="22.5">
      <c r="A42" s="12"/>
      <c r="B42" s="15"/>
      <c r="C42" s="16" t="s">
        <v>147</v>
      </c>
      <c r="D42" s="17" t="s">
        <v>148</v>
      </c>
      <c r="E42" s="146">
        <v>105000</v>
      </c>
      <c r="F42" s="146">
        <v>105000</v>
      </c>
      <c r="G42" s="255">
        <v>105000</v>
      </c>
      <c r="H42" s="146">
        <v>105000</v>
      </c>
      <c r="I42" s="143">
        <v>45000</v>
      </c>
      <c r="J42" s="143">
        <v>30000</v>
      </c>
      <c r="K42" s="143">
        <v>70000</v>
      </c>
      <c r="L42" s="143">
        <v>100000</v>
      </c>
      <c r="M42" s="143"/>
      <c r="N42" s="143"/>
      <c r="O42" s="143"/>
      <c r="P42" s="143"/>
      <c r="Q42" s="252">
        <f t="shared" si="11"/>
        <v>350000</v>
      </c>
      <c r="R42" s="143">
        <v>40000</v>
      </c>
      <c r="S42" s="19">
        <f t="shared" si="12"/>
        <v>390000</v>
      </c>
      <c r="T42" s="20" t="s">
        <v>257</v>
      </c>
    </row>
    <row r="43" spans="1:20" s="7" customFormat="1" ht="25.5">
      <c r="A43" s="12"/>
      <c r="B43" s="15"/>
      <c r="C43" s="16" t="s">
        <v>129</v>
      </c>
      <c r="D43" s="17" t="s">
        <v>130</v>
      </c>
      <c r="E43" s="146">
        <v>8000</v>
      </c>
      <c r="F43" s="146">
        <v>8000</v>
      </c>
      <c r="G43" s="255">
        <v>8000</v>
      </c>
      <c r="H43" s="146">
        <v>8000</v>
      </c>
      <c r="I43" s="143"/>
      <c r="J43" s="143"/>
      <c r="K43" s="143"/>
      <c r="L43" s="143"/>
      <c r="M43" s="143"/>
      <c r="N43" s="143">
        <v>500</v>
      </c>
      <c r="O43" s="143">
        <v>500</v>
      </c>
      <c r="P43" s="143"/>
      <c r="Q43" s="252">
        <f t="shared" si="11"/>
        <v>9000</v>
      </c>
      <c r="R43" s="143">
        <v>2500</v>
      </c>
      <c r="S43" s="19">
        <f t="shared" si="12"/>
        <v>11500</v>
      </c>
      <c r="T43" s="20" t="s">
        <v>253</v>
      </c>
    </row>
    <row r="44" spans="1:20" s="7" customFormat="1" ht="45.75" customHeight="1">
      <c r="A44" s="12"/>
      <c r="B44" s="12">
        <v>75618</v>
      </c>
      <c r="C44" s="12"/>
      <c r="D44" s="13" t="s">
        <v>158</v>
      </c>
      <c r="E44" s="185">
        <f>SUM(E45:E49)</f>
        <v>746714</v>
      </c>
      <c r="F44" s="185">
        <f>SUM(F45:F49)</f>
        <v>747604</v>
      </c>
      <c r="G44" s="257">
        <f>SUM(G45:G49)</f>
        <v>747604</v>
      </c>
      <c r="H44" s="185">
        <f>SUM(H45:H49)</f>
        <v>747604</v>
      </c>
      <c r="I44" s="183">
        <f aca="true" t="shared" si="13" ref="I44:Q44">SUM(I45:I49)</f>
        <v>178661</v>
      </c>
      <c r="J44" s="183">
        <f t="shared" si="13"/>
        <v>0</v>
      </c>
      <c r="K44" s="183">
        <f t="shared" si="13"/>
        <v>13900</v>
      </c>
      <c r="L44" s="183">
        <f t="shared" si="13"/>
        <v>0</v>
      </c>
      <c r="M44" s="183">
        <f t="shared" si="13"/>
        <v>0</v>
      </c>
      <c r="N44" s="183">
        <f t="shared" si="13"/>
        <v>50000</v>
      </c>
      <c r="O44" s="183">
        <f>SUM(O45:O49)</f>
        <v>194173</v>
      </c>
      <c r="P44" s="183"/>
      <c r="Q44" s="136">
        <f t="shared" si="13"/>
        <v>1184338</v>
      </c>
      <c r="R44" s="183">
        <f>SUM(R45:R49)</f>
        <v>231656</v>
      </c>
      <c r="S44" s="137">
        <f>SUM(S45:S49)</f>
        <v>1415994</v>
      </c>
      <c r="T44" s="254"/>
    </row>
    <row r="45" spans="1:20" s="7" customFormat="1" ht="18.75" customHeight="1">
      <c r="A45" s="12"/>
      <c r="B45" s="12"/>
      <c r="C45" s="16" t="s">
        <v>159</v>
      </c>
      <c r="D45" s="17" t="s">
        <v>160</v>
      </c>
      <c r="E45" s="146">
        <v>20000</v>
      </c>
      <c r="F45" s="146">
        <v>20000</v>
      </c>
      <c r="G45" s="255">
        <v>20000</v>
      </c>
      <c r="H45" s="146">
        <v>20000</v>
      </c>
      <c r="I45" s="143">
        <v>5000</v>
      </c>
      <c r="J45" s="143"/>
      <c r="K45" s="143"/>
      <c r="L45" s="143"/>
      <c r="M45" s="143"/>
      <c r="N45" s="143">
        <v>10000</v>
      </c>
      <c r="O45" s="143"/>
      <c r="P45" s="143"/>
      <c r="Q45" s="252">
        <f>H45+I45+J45+K45+L45+M45+N45+O45+P45</f>
        <v>35000</v>
      </c>
      <c r="R45" s="143"/>
      <c r="S45" s="19">
        <f>Q45+R45</f>
        <v>35000</v>
      </c>
      <c r="T45" s="253"/>
    </row>
    <row r="46" spans="1:20" s="7" customFormat="1" ht="21.75" customHeight="1">
      <c r="A46" s="12"/>
      <c r="B46" s="12"/>
      <c r="C46" s="16" t="s">
        <v>161</v>
      </c>
      <c r="D46" s="17" t="s">
        <v>162</v>
      </c>
      <c r="E46" s="146">
        <v>35000</v>
      </c>
      <c r="F46" s="146">
        <v>35000</v>
      </c>
      <c r="G46" s="255">
        <v>35000</v>
      </c>
      <c r="H46" s="146">
        <v>35000</v>
      </c>
      <c r="I46" s="143"/>
      <c r="J46" s="143"/>
      <c r="K46" s="143"/>
      <c r="L46" s="143"/>
      <c r="M46" s="143"/>
      <c r="N46" s="143">
        <v>7000</v>
      </c>
      <c r="O46" s="143"/>
      <c r="P46" s="143"/>
      <c r="Q46" s="252">
        <f>H46+I46+J46+K46+L46+M46+N46+O46+P46</f>
        <v>42000</v>
      </c>
      <c r="R46" s="143"/>
      <c r="S46" s="19">
        <f>Q46+R46</f>
        <v>42000</v>
      </c>
      <c r="T46" s="253"/>
    </row>
    <row r="47" spans="1:20" s="7" customFormat="1" ht="26.25" customHeight="1">
      <c r="A47" s="12"/>
      <c r="B47" s="12"/>
      <c r="C47" s="16" t="s">
        <v>163</v>
      </c>
      <c r="D47" s="17" t="s">
        <v>164</v>
      </c>
      <c r="E47" s="146">
        <v>90000</v>
      </c>
      <c r="F47" s="146">
        <v>90000</v>
      </c>
      <c r="G47" s="255">
        <v>90000</v>
      </c>
      <c r="H47" s="146">
        <v>90000</v>
      </c>
      <c r="I47" s="143"/>
      <c r="J47" s="143"/>
      <c r="K47" s="143"/>
      <c r="L47" s="143"/>
      <c r="M47" s="143"/>
      <c r="N47" s="143"/>
      <c r="O47" s="143"/>
      <c r="P47" s="143"/>
      <c r="Q47" s="252">
        <f>H47+I47+J47+K47+L47+M47+N47+O47+P47</f>
        <v>90000</v>
      </c>
      <c r="R47" s="143"/>
      <c r="S47" s="19">
        <f>Q47+R47</f>
        <v>90000</v>
      </c>
      <c r="T47" s="253"/>
    </row>
    <row r="48" spans="1:20" s="7" customFormat="1" ht="42.75" customHeight="1">
      <c r="A48" s="12"/>
      <c r="B48" s="12"/>
      <c r="C48" s="16" t="s">
        <v>165</v>
      </c>
      <c r="D48" s="17" t="s">
        <v>166</v>
      </c>
      <c r="E48" s="146">
        <f>8250+16500+258964+300000+5000+3000</f>
        <v>591714</v>
      </c>
      <c r="F48" s="146">
        <f>8250+16500+258964+300000+5000+3000+890</f>
        <v>592604</v>
      </c>
      <c r="G48" s="255">
        <f>8250+16500+258964+300000+5000+3000+890</f>
        <v>592604</v>
      </c>
      <c r="H48" s="146">
        <f>8250+16500+258964+300000+5000+3000+890</f>
        <v>592604</v>
      </c>
      <c r="I48" s="143">
        <v>173661</v>
      </c>
      <c r="J48" s="143"/>
      <c r="K48" s="143">
        <v>13900</v>
      </c>
      <c r="L48" s="143"/>
      <c r="M48" s="143"/>
      <c r="N48" s="143">
        <v>16000</v>
      </c>
      <c r="O48" s="143">
        <v>193173</v>
      </c>
      <c r="P48" s="143"/>
      <c r="Q48" s="252">
        <f>H48+I48+J48+K48+L48+M48+N48+O48+P48</f>
        <v>989338</v>
      </c>
      <c r="R48" s="143">
        <f>170260.8+61395.2</f>
        <v>231656</v>
      </c>
      <c r="S48" s="19">
        <f>Q48+R48</f>
        <v>1220994</v>
      </c>
      <c r="T48" s="253" t="s">
        <v>258</v>
      </c>
    </row>
    <row r="49" spans="1:20" s="7" customFormat="1" ht="32.25" customHeight="1">
      <c r="A49" s="12"/>
      <c r="B49" s="15"/>
      <c r="C49" s="16" t="s">
        <v>129</v>
      </c>
      <c r="D49" s="17" t="s">
        <v>130</v>
      </c>
      <c r="E49" s="146">
        <v>10000</v>
      </c>
      <c r="F49" s="146">
        <v>10000</v>
      </c>
      <c r="G49" s="255">
        <v>10000</v>
      </c>
      <c r="H49" s="146">
        <v>10000</v>
      </c>
      <c r="I49" s="143"/>
      <c r="J49" s="143"/>
      <c r="K49" s="143"/>
      <c r="L49" s="143"/>
      <c r="M49" s="143"/>
      <c r="N49" s="143">
        <v>17000</v>
      </c>
      <c r="O49" s="143">
        <v>1000</v>
      </c>
      <c r="P49" s="143"/>
      <c r="Q49" s="252">
        <f>H49+I49+J49+K49+L49+M49+N49+O49+P49</f>
        <v>28000</v>
      </c>
      <c r="R49" s="143"/>
      <c r="S49" s="19">
        <f>Q49+R49</f>
        <v>28000</v>
      </c>
      <c r="T49" s="253"/>
    </row>
    <row r="50" spans="1:20" s="7" customFormat="1" ht="27" customHeight="1">
      <c r="A50" s="12"/>
      <c r="B50" s="12">
        <v>75621</v>
      </c>
      <c r="C50" s="12"/>
      <c r="D50" s="13" t="s">
        <v>167</v>
      </c>
      <c r="E50" s="185">
        <f>SUM(E51:E52)</f>
        <v>2923852</v>
      </c>
      <c r="F50" s="185">
        <f>SUM(F51:F52)</f>
        <v>2938852</v>
      </c>
      <c r="G50" s="257">
        <f>SUM(G51:G52)</f>
        <v>2938852</v>
      </c>
      <c r="H50" s="185">
        <f>SUM(H51:H52)</f>
        <v>2938852</v>
      </c>
      <c r="I50" s="257">
        <f aca="true" t="shared" si="14" ref="I50:Q50">SUM(I51:I52)</f>
        <v>-12564</v>
      </c>
      <c r="J50" s="183">
        <f t="shared" si="14"/>
        <v>0</v>
      </c>
      <c r="K50" s="183">
        <f t="shared" si="14"/>
        <v>0</v>
      </c>
      <c r="L50" s="183">
        <f t="shared" si="14"/>
        <v>0</v>
      </c>
      <c r="M50" s="183">
        <f t="shared" si="14"/>
        <v>0</v>
      </c>
      <c r="N50" s="183">
        <f t="shared" si="14"/>
        <v>0</v>
      </c>
      <c r="O50" s="183">
        <f>SUM(O51:O52)</f>
        <v>0</v>
      </c>
      <c r="P50" s="183"/>
      <c r="Q50" s="136">
        <f t="shared" si="14"/>
        <v>2926288</v>
      </c>
      <c r="R50" s="183">
        <f>SUM(R51:R52)</f>
        <v>0</v>
      </c>
      <c r="S50" s="137">
        <f>SUM(S51:S52)</f>
        <v>2926288</v>
      </c>
      <c r="T50" s="254"/>
    </row>
    <row r="51" spans="1:20" s="7" customFormat="1" ht="22.5" customHeight="1">
      <c r="A51" s="12"/>
      <c r="B51" s="15"/>
      <c r="C51" s="16" t="s">
        <v>168</v>
      </c>
      <c r="D51" s="17" t="s">
        <v>169</v>
      </c>
      <c r="E51" s="146">
        <v>2543852</v>
      </c>
      <c r="F51" s="146">
        <v>2543852</v>
      </c>
      <c r="G51" s="255">
        <v>2543852</v>
      </c>
      <c r="H51" s="146">
        <v>2543852</v>
      </c>
      <c r="I51" s="255">
        <v>-32564</v>
      </c>
      <c r="J51" s="143"/>
      <c r="K51" s="143"/>
      <c r="L51" s="143"/>
      <c r="M51" s="143"/>
      <c r="N51" s="143"/>
      <c r="O51" s="143"/>
      <c r="P51" s="143"/>
      <c r="Q51" s="252">
        <f>H51+I51+J51+K51+L51+M51+N51+O51+P51</f>
        <v>2511288</v>
      </c>
      <c r="R51" s="143"/>
      <c r="S51" s="19">
        <f>Q51+R51</f>
        <v>2511288</v>
      </c>
      <c r="T51" s="253"/>
    </row>
    <row r="52" spans="1:20" s="7" customFormat="1" ht="22.5" customHeight="1">
      <c r="A52" s="12"/>
      <c r="B52" s="15"/>
      <c r="C52" s="16" t="s">
        <v>170</v>
      </c>
      <c r="D52" s="17" t="s">
        <v>171</v>
      </c>
      <c r="E52" s="146">
        <v>380000</v>
      </c>
      <c r="F52" s="146">
        <v>395000</v>
      </c>
      <c r="G52" s="255">
        <v>395000</v>
      </c>
      <c r="H52" s="146">
        <v>395000</v>
      </c>
      <c r="I52" s="143">
        <v>20000</v>
      </c>
      <c r="J52" s="143"/>
      <c r="K52" s="143"/>
      <c r="L52" s="143"/>
      <c r="M52" s="143"/>
      <c r="N52" s="143"/>
      <c r="O52" s="143"/>
      <c r="P52" s="143"/>
      <c r="Q52" s="252">
        <f>H52+I52+J52+K52+L52+M52+N52+O52+P52</f>
        <v>415000</v>
      </c>
      <c r="R52" s="143"/>
      <c r="S52" s="19">
        <f>Q52+R52</f>
        <v>415000</v>
      </c>
      <c r="T52" s="253"/>
    </row>
    <row r="53" spans="1:20" s="7" customFormat="1" ht="12.75">
      <c r="A53" s="9">
        <v>758</v>
      </c>
      <c r="B53" s="9"/>
      <c r="C53" s="9"/>
      <c r="D53" s="10" t="s">
        <v>15</v>
      </c>
      <c r="E53" s="135">
        <f>E54+E58+E60+E63</f>
        <v>4603173</v>
      </c>
      <c r="F53" s="135">
        <f>F54+F58+F60+F63</f>
        <v>4603173</v>
      </c>
      <c r="G53" s="153">
        <f>G54+G58+G60+G63</f>
        <v>4603173</v>
      </c>
      <c r="H53" s="135">
        <f>H54+H58+H60+H63</f>
        <v>4603173</v>
      </c>
      <c r="I53" s="11">
        <f aca="true" t="shared" si="15" ref="I53:N53">I54+I58+I60+I63</f>
        <v>90138</v>
      </c>
      <c r="J53" s="153">
        <f t="shared" si="15"/>
        <v>-2164</v>
      </c>
      <c r="K53" s="11">
        <f t="shared" si="15"/>
        <v>10000</v>
      </c>
      <c r="L53" s="11">
        <f t="shared" si="15"/>
        <v>30312</v>
      </c>
      <c r="M53" s="11">
        <f t="shared" si="15"/>
        <v>43485</v>
      </c>
      <c r="N53" s="11">
        <f t="shared" si="15"/>
        <v>0</v>
      </c>
      <c r="O53" s="11">
        <f>O54+O58+O60+O63</f>
        <v>5000</v>
      </c>
      <c r="P53" s="11"/>
      <c r="Q53" s="135">
        <f>Q54+Q58+Q60+Q63+Q56</f>
        <v>4779944</v>
      </c>
      <c r="R53" s="11">
        <f>R54+R58+R60+R63+R56</f>
        <v>26290</v>
      </c>
      <c r="S53" s="135">
        <f>S54+S58+S60+S63+S56</f>
        <v>4806234</v>
      </c>
      <c r="T53" s="256"/>
    </row>
    <row r="54" spans="1:20" s="7" customFormat="1" ht="25.5">
      <c r="A54" s="12"/>
      <c r="B54" s="12">
        <v>75801</v>
      </c>
      <c r="C54" s="12"/>
      <c r="D54" s="13" t="s">
        <v>199</v>
      </c>
      <c r="E54" s="185">
        <f aca="true" t="shared" si="16" ref="E54:S54">E55</f>
        <v>3958907</v>
      </c>
      <c r="F54" s="185">
        <f t="shared" si="16"/>
        <v>3958907</v>
      </c>
      <c r="G54" s="257">
        <f t="shared" si="16"/>
        <v>3958907</v>
      </c>
      <c r="H54" s="185">
        <f t="shared" si="16"/>
        <v>3958907</v>
      </c>
      <c r="I54" s="183">
        <f t="shared" si="16"/>
        <v>85974</v>
      </c>
      <c r="J54" s="257">
        <f t="shared" si="16"/>
        <v>0</v>
      </c>
      <c r="K54" s="183">
        <f t="shared" si="16"/>
        <v>0</v>
      </c>
      <c r="L54" s="183">
        <f t="shared" si="16"/>
        <v>20312</v>
      </c>
      <c r="M54" s="183">
        <f t="shared" si="16"/>
        <v>0</v>
      </c>
      <c r="N54" s="183">
        <f t="shared" si="16"/>
        <v>0</v>
      </c>
      <c r="O54" s="183">
        <f t="shared" si="16"/>
        <v>0</v>
      </c>
      <c r="P54" s="183"/>
      <c r="Q54" s="136">
        <f t="shared" si="16"/>
        <v>4065193</v>
      </c>
      <c r="R54" s="183">
        <f t="shared" si="16"/>
        <v>1688</v>
      </c>
      <c r="S54" s="137">
        <f t="shared" si="16"/>
        <v>4066881</v>
      </c>
      <c r="T54" s="254"/>
    </row>
    <row r="55" spans="1:20" s="7" customFormat="1" ht="72.75" customHeight="1">
      <c r="A55" s="12"/>
      <c r="B55" s="15"/>
      <c r="C55" s="15">
        <v>2920</v>
      </c>
      <c r="D55" s="17" t="s">
        <v>200</v>
      </c>
      <c r="E55" s="146">
        <v>3958907</v>
      </c>
      <c r="F55" s="146">
        <v>3958907</v>
      </c>
      <c r="G55" s="255">
        <v>3958907</v>
      </c>
      <c r="H55" s="146">
        <v>3958907</v>
      </c>
      <c r="I55" s="143">
        <v>85974</v>
      </c>
      <c r="J55" s="255"/>
      <c r="K55" s="143"/>
      <c r="L55" s="143">
        <v>20312</v>
      </c>
      <c r="M55" s="143"/>
      <c r="N55" s="143"/>
      <c r="O55" s="143"/>
      <c r="P55" s="143"/>
      <c r="Q55" s="252">
        <f>H55+I55+J55+K55+L55+M55+N55+O55+P55</f>
        <v>4065193</v>
      </c>
      <c r="R55" s="143">
        <v>1688</v>
      </c>
      <c r="S55" s="19">
        <f>Q55+R55</f>
        <v>4066881</v>
      </c>
      <c r="T55" s="253" t="s">
        <v>259</v>
      </c>
    </row>
    <row r="56" spans="1:20" s="7" customFormat="1" ht="32.25" customHeight="1">
      <c r="A56" s="12"/>
      <c r="B56" s="12">
        <v>75802</v>
      </c>
      <c r="C56" s="12"/>
      <c r="D56" s="13" t="s">
        <v>260</v>
      </c>
      <c r="E56" s="146"/>
      <c r="F56" s="146"/>
      <c r="G56" s="255"/>
      <c r="H56" s="146"/>
      <c r="I56" s="143"/>
      <c r="J56" s="255"/>
      <c r="K56" s="143"/>
      <c r="L56" s="143"/>
      <c r="M56" s="143"/>
      <c r="N56" s="143"/>
      <c r="O56" s="143"/>
      <c r="P56" s="145"/>
      <c r="Q56" s="23">
        <f>Q57</f>
        <v>0</v>
      </c>
      <c r="R56" s="145">
        <f>R57</f>
        <v>24602</v>
      </c>
      <c r="S56" s="24">
        <f>S57</f>
        <v>24602</v>
      </c>
      <c r="T56" s="254"/>
    </row>
    <row r="57" spans="1:20" s="7" customFormat="1" ht="33.75">
      <c r="A57" s="12"/>
      <c r="B57" s="15"/>
      <c r="C57" s="15">
        <v>2750</v>
      </c>
      <c r="D57" s="17" t="s">
        <v>261</v>
      </c>
      <c r="E57" s="146"/>
      <c r="F57" s="146"/>
      <c r="G57" s="255"/>
      <c r="H57" s="146"/>
      <c r="I57" s="143"/>
      <c r="J57" s="255"/>
      <c r="K57" s="143"/>
      <c r="L57" s="143"/>
      <c r="M57" s="143"/>
      <c r="N57" s="143"/>
      <c r="O57" s="143"/>
      <c r="P57" s="143"/>
      <c r="Q57" s="252">
        <f>H57+I57+J57+K57+L57+M57+N57+O57+P57</f>
        <v>0</v>
      </c>
      <c r="R57" s="143">
        <v>24602</v>
      </c>
      <c r="S57" s="19">
        <f>Q57+R57</f>
        <v>24602</v>
      </c>
      <c r="T57" s="253" t="s">
        <v>262</v>
      </c>
    </row>
    <row r="58" spans="1:20" s="7" customFormat="1" ht="28.5" customHeight="1">
      <c r="A58" s="12"/>
      <c r="B58" s="12">
        <v>75807</v>
      </c>
      <c r="C58" s="12"/>
      <c r="D58" s="13" t="s">
        <v>201</v>
      </c>
      <c r="E58" s="185">
        <f aca="true" t="shared" si="17" ref="E58:S58">E59</f>
        <v>574141</v>
      </c>
      <c r="F58" s="185">
        <f t="shared" si="17"/>
        <v>574141</v>
      </c>
      <c r="G58" s="257">
        <f t="shared" si="17"/>
        <v>574141</v>
      </c>
      <c r="H58" s="185">
        <f t="shared" si="17"/>
        <v>574141</v>
      </c>
      <c r="I58" s="183">
        <f t="shared" si="17"/>
        <v>0</v>
      </c>
      <c r="J58" s="183">
        <f t="shared" si="17"/>
        <v>0</v>
      </c>
      <c r="K58" s="183">
        <f t="shared" si="17"/>
        <v>0</v>
      </c>
      <c r="L58" s="183">
        <f t="shared" si="17"/>
        <v>0</v>
      </c>
      <c r="M58" s="183">
        <f t="shared" si="17"/>
        <v>0</v>
      </c>
      <c r="N58" s="183">
        <f t="shared" si="17"/>
        <v>0</v>
      </c>
      <c r="O58" s="183">
        <f t="shared" si="17"/>
        <v>0</v>
      </c>
      <c r="P58" s="183"/>
      <c r="Q58" s="136">
        <f t="shared" si="17"/>
        <v>574141</v>
      </c>
      <c r="R58" s="183">
        <f t="shared" si="17"/>
        <v>0</v>
      </c>
      <c r="S58" s="137">
        <f t="shared" si="17"/>
        <v>574141</v>
      </c>
      <c r="T58" s="254"/>
    </row>
    <row r="59" spans="1:20" s="7" customFormat="1" ht="12.75">
      <c r="A59" s="12"/>
      <c r="B59" s="15"/>
      <c r="C59" s="15">
        <v>2920</v>
      </c>
      <c r="D59" s="17" t="s">
        <v>200</v>
      </c>
      <c r="E59" s="146">
        <v>574141</v>
      </c>
      <c r="F59" s="146">
        <v>574141</v>
      </c>
      <c r="G59" s="255">
        <v>574141</v>
      </c>
      <c r="H59" s="146">
        <v>574141</v>
      </c>
      <c r="I59" s="143"/>
      <c r="J59" s="143"/>
      <c r="K59" s="143"/>
      <c r="L59" s="143"/>
      <c r="M59" s="143"/>
      <c r="N59" s="143"/>
      <c r="O59" s="143"/>
      <c r="P59" s="143"/>
      <c r="Q59" s="252">
        <f>H59+I59+J59+K59+L59+M59+N59+O59+P59</f>
        <v>574141</v>
      </c>
      <c r="R59" s="143"/>
      <c r="S59" s="19">
        <f>Q59+R59</f>
        <v>574141</v>
      </c>
      <c r="T59" s="253"/>
    </row>
    <row r="60" spans="1:20" s="258" customFormat="1" ht="12.75">
      <c r="A60" s="12"/>
      <c r="B60" s="12">
        <v>75814</v>
      </c>
      <c r="C60" s="12"/>
      <c r="D60" s="13" t="s">
        <v>202</v>
      </c>
      <c r="E60" s="185">
        <f aca="true" t="shared" si="18" ref="E60:O60">E61</f>
        <v>3000</v>
      </c>
      <c r="F60" s="185">
        <f t="shared" si="18"/>
        <v>3000</v>
      </c>
      <c r="G60" s="257">
        <f t="shared" si="18"/>
        <v>3000</v>
      </c>
      <c r="H60" s="185">
        <f t="shared" si="18"/>
        <v>3000</v>
      </c>
      <c r="I60" s="183">
        <f t="shared" si="18"/>
        <v>2000</v>
      </c>
      <c r="J60" s="183">
        <f t="shared" si="18"/>
        <v>0</v>
      </c>
      <c r="K60" s="183">
        <f t="shared" si="18"/>
        <v>10000</v>
      </c>
      <c r="L60" s="183">
        <f t="shared" si="18"/>
        <v>10000</v>
      </c>
      <c r="M60" s="183">
        <f>M61+M62</f>
        <v>43485</v>
      </c>
      <c r="N60" s="183">
        <f t="shared" si="18"/>
        <v>0</v>
      </c>
      <c r="O60" s="183">
        <f t="shared" si="18"/>
        <v>5000</v>
      </c>
      <c r="P60" s="183"/>
      <c r="Q60" s="136">
        <f>Q61+Q62</f>
        <v>73485</v>
      </c>
      <c r="R60" s="183">
        <f>R61</f>
        <v>0</v>
      </c>
      <c r="S60" s="137">
        <f>S61+S62</f>
        <v>73485</v>
      </c>
      <c r="T60" s="254"/>
    </row>
    <row r="61" spans="1:20" s="7" customFormat="1" ht="21.75" customHeight="1">
      <c r="A61" s="12"/>
      <c r="B61" s="15"/>
      <c r="C61" s="16" t="s">
        <v>10</v>
      </c>
      <c r="D61" s="17" t="s">
        <v>11</v>
      </c>
      <c r="E61" s="146">
        <v>3000</v>
      </c>
      <c r="F61" s="146">
        <v>3000</v>
      </c>
      <c r="G61" s="255">
        <v>3000</v>
      </c>
      <c r="H61" s="146">
        <v>3000</v>
      </c>
      <c r="I61" s="143">
        <v>2000</v>
      </c>
      <c r="J61" s="143"/>
      <c r="K61" s="143">
        <v>10000</v>
      </c>
      <c r="L61" s="143">
        <v>10000</v>
      </c>
      <c r="M61" s="143"/>
      <c r="N61" s="143"/>
      <c r="O61" s="143">
        <v>5000</v>
      </c>
      <c r="P61" s="143"/>
      <c r="Q61" s="252">
        <f>H61+I61+J61+K61+L61+M61+N61+O61+P61</f>
        <v>30000</v>
      </c>
      <c r="R61" s="143"/>
      <c r="S61" s="19">
        <f>Q61+R61</f>
        <v>30000</v>
      </c>
      <c r="T61" s="253"/>
    </row>
    <row r="62" spans="1:20" s="7" customFormat="1" ht="25.5">
      <c r="A62" s="12"/>
      <c r="B62" s="15"/>
      <c r="C62" s="16">
        <v>2370</v>
      </c>
      <c r="D62" s="17" t="s">
        <v>203</v>
      </c>
      <c r="E62" s="146"/>
      <c r="F62" s="146"/>
      <c r="G62" s="255"/>
      <c r="H62" s="146"/>
      <c r="I62" s="143"/>
      <c r="J62" s="143"/>
      <c r="K62" s="143"/>
      <c r="L62" s="143"/>
      <c r="M62" s="143">
        <v>43485</v>
      </c>
      <c r="N62" s="143"/>
      <c r="O62" s="143"/>
      <c r="P62" s="143"/>
      <c r="Q62" s="252">
        <f>H62+I62+J62+K62+L62+M62+N62+O62+P62</f>
        <v>43485</v>
      </c>
      <c r="R62" s="143"/>
      <c r="S62" s="19">
        <f>Q62+R62</f>
        <v>43485</v>
      </c>
      <c r="T62" s="253"/>
    </row>
    <row r="63" spans="1:20" s="7" customFormat="1" ht="25.5" customHeight="1">
      <c r="A63" s="12"/>
      <c r="B63" s="12">
        <v>75831</v>
      </c>
      <c r="C63" s="12"/>
      <c r="D63" s="13" t="s">
        <v>204</v>
      </c>
      <c r="E63" s="185">
        <f aca="true" t="shared" si="19" ref="E63:S63">E64</f>
        <v>67125</v>
      </c>
      <c r="F63" s="185">
        <f t="shared" si="19"/>
        <v>67125</v>
      </c>
      <c r="G63" s="257">
        <f t="shared" si="19"/>
        <v>67125</v>
      </c>
      <c r="H63" s="185">
        <f t="shared" si="19"/>
        <v>67125</v>
      </c>
      <c r="I63" s="183">
        <f t="shared" si="19"/>
        <v>2164</v>
      </c>
      <c r="J63" s="257">
        <f t="shared" si="19"/>
        <v>-2164</v>
      </c>
      <c r="K63" s="183">
        <f t="shared" si="19"/>
        <v>0</v>
      </c>
      <c r="L63" s="183">
        <f t="shared" si="19"/>
        <v>0</v>
      </c>
      <c r="M63" s="183">
        <f t="shared" si="19"/>
        <v>0</v>
      </c>
      <c r="N63" s="183">
        <f t="shared" si="19"/>
        <v>0</v>
      </c>
      <c r="O63" s="183">
        <f t="shared" si="19"/>
        <v>0</v>
      </c>
      <c r="P63" s="183"/>
      <c r="Q63" s="136">
        <f t="shared" si="19"/>
        <v>67125</v>
      </c>
      <c r="R63" s="183">
        <f t="shared" si="19"/>
        <v>0</v>
      </c>
      <c r="S63" s="137">
        <f t="shared" si="19"/>
        <v>67125</v>
      </c>
      <c r="T63" s="254"/>
    </row>
    <row r="64" spans="1:20" s="7" customFormat="1" ht="12.75">
      <c r="A64" s="12"/>
      <c r="B64" s="15"/>
      <c r="C64" s="15">
        <v>2920</v>
      </c>
      <c r="D64" s="17" t="s">
        <v>200</v>
      </c>
      <c r="E64" s="146">
        <v>67125</v>
      </c>
      <c r="F64" s="146">
        <v>67125</v>
      </c>
      <c r="G64" s="255">
        <v>67125</v>
      </c>
      <c r="H64" s="146">
        <v>67125</v>
      </c>
      <c r="I64" s="143">
        <v>2164</v>
      </c>
      <c r="J64" s="255">
        <v>-2164</v>
      </c>
      <c r="K64" s="143"/>
      <c r="L64" s="143"/>
      <c r="M64" s="143"/>
      <c r="N64" s="143"/>
      <c r="O64" s="143"/>
      <c r="P64" s="143"/>
      <c r="Q64" s="252">
        <f>H64+I64+J64+K64+L64+M64+N64+O64+P64</f>
        <v>67125</v>
      </c>
      <c r="R64" s="143"/>
      <c r="S64" s="19">
        <f>Q64+R64</f>
        <v>67125</v>
      </c>
      <c r="T64" s="253"/>
    </row>
    <row r="65" spans="1:20" s="7" customFormat="1" ht="15" customHeight="1">
      <c r="A65" s="9">
        <v>801</v>
      </c>
      <c r="B65" s="9"/>
      <c r="C65" s="9"/>
      <c r="D65" s="10" t="s">
        <v>16</v>
      </c>
      <c r="E65" s="135">
        <f>E66+E69+E73+E76+E78</f>
        <v>136000</v>
      </c>
      <c r="F65" s="135">
        <f>F66+F69+F73+F76+F78</f>
        <v>136000</v>
      </c>
      <c r="G65" s="153">
        <f>G66+G69+G73+G76+G78</f>
        <v>136000</v>
      </c>
      <c r="H65" s="135">
        <f>H66+H69+H73+H76+H78+H81</f>
        <v>136000</v>
      </c>
      <c r="I65" s="11">
        <f>I66+I69+I73+I76+I78</f>
        <v>2522745</v>
      </c>
      <c r="J65" s="11">
        <f>J66+J69+J73+J76+J78</f>
        <v>0</v>
      </c>
      <c r="K65" s="11">
        <f>K66+K69+K78+K73+K76+K81</f>
        <v>11190</v>
      </c>
      <c r="L65" s="11">
        <f>L66+L69+L73+L76+L78+L81</f>
        <v>14067</v>
      </c>
      <c r="M65" s="11">
        <f>M66+M69+M73+M76+M78+M81</f>
        <v>0</v>
      </c>
      <c r="N65" s="11">
        <f>N66+N69+N73+N76+N78</f>
        <v>14720</v>
      </c>
      <c r="O65" s="11">
        <f>O66+O69+O73+O76+O78+O81</f>
        <v>14067</v>
      </c>
      <c r="P65" s="11"/>
      <c r="Q65" s="135">
        <f>Q66+Q69+Q73+Q76+Q78+Q81</f>
        <v>2712789</v>
      </c>
      <c r="R65" s="11">
        <f>R66+R69+R73+R76+R78+R81</f>
        <v>8212</v>
      </c>
      <c r="S65" s="135">
        <f>S66+S69+S73+S76+S78+S81</f>
        <v>2721001</v>
      </c>
      <c r="T65" s="256"/>
    </row>
    <row r="66" spans="1:20" s="7" customFormat="1" ht="12.75" customHeight="1">
      <c r="A66" s="27"/>
      <c r="B66" s="27">
        <v>80101</v>
      </c>
      <c r="C66" s="27"/>
      <c r="D66" s="13" t="s">
        <v>17</v>
      </c>
      <c r="E66" s="185">
        <f aca="true" t="shared" si="20" ref="E66:J66">E67</f>
        <v>12000</v>
      </c>
      <c r="F66" s="185">
        <f t="shared" si="20"/>
        <v>12000</v>
      </c>
      <c r="G66" s="257">
        <f t="shared" si="20"/>
        <v>12000</v>
      </c>
      <c r="H66" s="185">
        <f t="shared" si="20"/>
        <v>12000</v>
      </c>
      <c r="I66" s="183">
        <f t="shared" si="20"/>
        <v>0</v>
      </c>
      <c r="J66" s="183">
        <f t="shared" si="20"/>
        <v>0</v>
      </c>
      <c r="K66" s="183">
        <f aca="true" t="shared" si="21" ref="K66:Q66">K67+K68</f>
        <v>21890</v>
      </c>
      <c r="L66" s="183">
        <f t="shared" si="21"/>
        <v>0</v>
      </c>
      <c r="M66" s="183">
        <f t="shared" si="21"/>
        <v>0</v>
      </c>
      <c r="N66" s="183">
        <f t="shared" si="21"/>
        <v>14620</v>
      </c>
      <c r="O66" s="183">
        <f t="shared" si="21"/>
        <v>0</v>
      </c>
      <c r="P66" s="183"/>
      <c r="Q66" s="136">
        <f t="shared" si="21"/>
        <v>48510</v>
      </c>
      <c r="R66" s="183">
        <f>R67+R68</f>
        <v>0</v>
      </c>
      <c r="S66" s="137">
        <f>S67+S68</f>
        <v>48510</v>
      </c>
      <c r="T66" s="254"/>
    </row>
    <row r="67" spans="1:20" s="156" customFormat="1" ht="12.75">
      <c r="A67" s="22"/>
      <c r="B67" s="22"/>
      <c r="C67" s="28" t="s">
        <v>119</v>
      </c>
      <c r="D67" s="29" t="s">
        <v>120</v>
      </c>
      <c r="E67" s="204">
        <v>12000</v>
      </c>
      <c r="F67" s="204">
        <v>12000</v>
      </c>
      <c r="G67" s="25">
        <v>12000</v>
      </c>
      <c r="H67" s="204">
        <v>12000</v>
      </c>
      <c r="I67" s="26"/>
      <c r="J67" s="26"/>
      <c r="K67" s="26">
        <v>6840</v>
      </c>
      <c r="L67" s="26"/>
      <c r="M67" s="26"/>
      <c r="N67" s="26"/>
      <c r="O67" s="26"/>
      <c r="P67" s="26"/>
      <c r="Q67" s="252">
        <f>H67+I67+J67+K67+L67+M67+N67+O67+P67</f>
        <v>18840</v>
      </c>
      <c r="R67" s="26"/>
      <c r="S67" s="19">
        <f>Q67+R67</f>
        <v>18840</v>
      </c>
      <c r="T67" s="253"/>
    </row>
    <row r="68" spans="1:20" s="156" customFormat="1" ht="39.75" customHeight="1">
      <c r="A68" s="22"/>
      <c r="B68" s="22"/>
      <c r="C68" s="28">
        <v>2030</v>
      </c>
      <c r="D68" s="29" t="s">
        <v>18</v>
      </c>
      <c r="E68" s="204"/>
      <c r="F68" s="204"/>
      <c r="G68" s="25"/>
      <c r="H68" s="204"/>
      <c r="I68" s="26"/>
      <c r="J68" s="26"/>
      <c r="K68" s="26">
        <v>15050</v>
      </c>
      <c r="L68" s="26"/>
      <c r="M68" s="26"/>
      <c r="N68" s="26">
        <v>14620</v>
      </c>
      <c r="O68" s="26"/>
      <c r="P68" s="26"/>
      <c r="Q68" s="252">
        <f>H68+I68+J68+K68+L68+M68+N68+O68+P68</f>
        <v>29670</v>
      </c>
      <c r="R68" s="26"/>
      <c r="S68" s="19">
        <f>Q68+R68</f>
        <v>29670</v>
      </c>
      <c r="T68" s="253"/>
    </row>
    <row r="69" spans="1:20" s="7" customFormat="1" ht="12.75">
      <c r="A69" s="27"/>
      <c r="B69" s="27">
        <v>80104</v>
      </c>
      <c r="C69" s="27"/>
      <c r="D69" s="30" t="s">
        <v>19</v>
      </c>
      <c r="E69" s="185">
        <f>SUM(E70:E72)</f>
        <v>113100</v>
      </c>
      <c r="F69" s="185">
        <f>SUM(F70:F72)</f>
        <v>113100</v>
      </c>
      <c r="G69" s="257">
        <f>SUM(G70:G72)</f>
        <v>113100</v>
      </c>
      <c r="H69" s="185">
        <f>SUM(H70:H72)</f>
        <v>113100</v>
      </c>
      <c r="I69" s="183">
        <f aca="true" t="shared" si="22" ref="I69:N69">I70+I71+I72</f>
        <v>0</v>
      </c>
      <c r="J69" s="183">
        <f t="shared" si="22"/>
        <v>0</v>
      </c>
      <c r="K69" s="183">
        <f t="shared" si="22"/>
        <v>0</v>
      </c>
      <c r="L69" s="183">
        <f t="shared" si="22"/>
        <v>0</v>
      </c>
      <c r="M69" s="183">
        <f t="shared" si="22"/>
        <v>0</v>
      </c>
      <c r="N69" s="183">
        <f t="shared" si="22"/>
        <v>0</v>
      </c>
      <c r="O69" s="183">
        <f>O70+O71+O72</f>
        <v>0</v>
      </c>
      <c r="P69" s="183"/>
      <c r="Q69" s="136">
        <f>SUM(Q70:Q72)</f>
        <v>113100</v>
      </c>
      <c r="R69" s="183">
        <f>R70+R71+R72</f>
        <v>0</v>
      </c>
      <c r="S69" s="137">
        <f>SUM(S70:S72)</f>
        <v>113100</v>
      </c>
      <c r="T69" s="254"/>
    </row>
    <row r="70" spans="1:20" s="7" customFormat="1" ht="12.75">
      <c r="A70" s="27"/>
      <c r="B70" s="27"/>
      <c r="C70" s="16" t="s">
        <v>172</v>
      </c>
      <c r="D70" s="17" t="s">
        <v>173</v>
      </c>
      <c r="E70" s="146">
        <v>100000</v>
      </c>
      <c r="F70" s="146">
        <v>100000</v>
      </c>
      <c r="G70" s="255">
        <v>100000</v>
      </c>
      <c r="H70" s="146">
        <v>100000</v>
      </c>
      <c r="I70" s="143"/>
      <c r="J70" s="143"/>
      <c r="K70" s="143"/>
      <c r="L70" s="143"/>
      <c r="M70" s="143"/>
      <c r="N70" s="143"/>
      <c r="O70" s="143"/>
      <c r="P70" s="143"/>
      <c r="Q70" s="252">
        <f>H70+I70+J70+K70+L70+M70+N70+O70+P70</f>
        <v>100000</v>
      </c>
      <c r="R70" s="143"/>
      <c r="S70" s="19">
        <f>Q70+R70</f>
        <v>100000</v>
      </c>
      <c r="T70" s="253"/>
    </row>
    <row r="71" spans="1:20" s="7" customFormat="1" ht="25.5">
      <c r="A71" s="27"/>
      <c r="B71" s="27"/>
      <c r="C71" s="16" t="s">
        <v>129</v>
      </c>
      <c r="D71" s="17" t="s">
        <v>130</v>
      </c>
      <c r="E71" s="146">
        <v>100</v>
      </c>
      <c r="F71" s="146">
        <v>100</v>
      </c>
      <c r="G71" s="255">
        <v>100</v>
      </c>
      <c r="H71" s="146">
        <v>100</v>
      </c>
      <c r="I71" s="143"/>
      <c r="J71" s="143"/>
      <c r="K71" s="143"/>
      <c r="L71" s="143"/>
      <c r="M71" s="143"/>
      <c r="N71" s="143"/>
      <c r="O71" s="143"/>
      <c r="P71" s="143"/>
      <c r="Q71" s="252">
        <f>H71+I71+J71+K71+L71+M71+N71+O71+P71</f>
        <v>100</v>
      </c>
      <c r="R71" s="143"/>
      <c r="S71" s="19">
        <f>Q71+R71</f>
        <v>100</v>
      </c>
      <c r="T71" s="253"/>
    </row>
    <row r="72" spans="1:20" s="7" customFormat="1" ht="12.75">
      <c r="A72" s="27"/>
      <c r="B72" s="27"/>
      <c r="C72" s="28" t="s">
        <v>119</v>
      </c>
      <c r="D72" s="29" t="s">
        <v>120</v>
      </c>
      <c r="E72" s="146">
        <v>13000</v>
      </c>
      <c r="F72" s="146">
        <v>13000</v>
      </c>
      <c r="G72" s="255">
        <v>13000</v>
      </c>
      <c r="H72" s="146">
        <v>13000</v>
      </c>
      <c r="I72" s="143"/>
      <c r="J72" s="143"/>
      <c r="K72" s="143"/>
      <c r="L72" s="143"/>
      <c r="M72" s="143"/>
      <c r="N72" s="143"/>
      <c r="O72" s="143"/>
      <c r="P72" s="143"/>
      <c r="Q72" s="252">
        <f>H72+I72+J72+K72+L72+M72+N72+O72+P72</f>
        <v>13000</v>
      </c>
      <c r="R72" s="143"/>
      <c r="S72" s="19">
        <f>Q72+R72</f>
        <v>13000</v>
      </c>
      <c r="T72" s="253"/>
    </row>
    <row r="73" spans="1:20" s="7" customFormat="1" ht="12.75" customHeight="1">
      <c r="A73" s="27"/>
      <c r="B73" s="12">
        <v>80110</v>
      </c>
      <c r="C73" s="12"/>
      <c r="D73" s="13" t="s">
        <v>20</v>
      </c>
      <c r="E73" s="185">
        <f>E74+E75</f>
        <v>0</v>
      </c>
      <c r="F73" s="185">
        <f>F74+F75</f>
        <v>0</v>
      </c>
      <c r="G73" s="257">
        <f>G74+G75</f>
        <v>0</v>
      </c>
      <c r="H73" s="185">
        <f>H74+H75</f>
        <v>0</v>
      </c>
      <c r="I73" s="183">
        <f aca="true" t="shared" si="23" ref="I73:Q73">I74+I75</f>
        <v>2522745</v>
      </c>
      <c r="J73" s="183">
        <f t="shared" si="23"/>
        <v>0</v>
      </c>
      <c r="K73" s="183">
        <f t="shared" si="23"/>
        <v>0</v>
      </c>
      <c r="L73" s="183">
        <f t="shared" si="23"/>
        <v>0</v>
      </c>
      <c r="M73" s="183">
        <f t="shared" si="23"/>
        <v>0</v>
      </c>
      <c r="N73" s="183">
        <f t="shared" si="23"/>
        <v>0</v>
      </c>
      <c r="O73" s="183">
        <f>O74+O75</f>
        <v>0</v>
      </c>
      <c r="P73" s="183"/>
      <c r="Q73" s="136">
        <f t="shared" si="23"/>
        <v>2522745</v>
      </c>
      <c r="R73" s="183">
        <f>R74+R75</f>
        <v>0</v>
      </c>
      <c r="S73" s="137">
        <f>S74+S75</f>
        <v>2522745</v>
      </c>
      <c r="T73" s="254"/>
    </row>
    <row r="74" spans="1:20" s="7" customFormat="1" ht="32.25" customHeight="1">
      <c r="A74" s="27"/>
      <c r="B74" s="27"/>
      <c r="C74" s="16">
        <v>6298</v>
      </c>
      <c r="D74" s="17" t="s">
        <v>174</v>
      </c>
      <c r="E74" s="146"/>
      <c r="F74" s="146"/>
      <c r="G74" s="255"/>
      <c r="H74" s="146"/>
      <c r="I74" s="143">
        <v>2225952</v>
      </c>
      <c r="J74" s="143"/>
      <c r="K74" s="143"/>
      <c r="L74" s="143"/>
      <c r="M74" s="143"/>
      <c r="N74" s="143"/>
      <c r="O74" s="143"/>
      <c r="P74" s="143"/>
      <c r="Q74" s="252">
        <f>H74+I74+J74+K74+L74+M74+N74+O74+P74</f>
        <v>2225952</v>
      </c>
      <c r="R74" s="143"/>
      <c r="S74" s="19">
        <f>Q74+R74</f>
        <v>2225952</v>
      </c>
      <c r="T74" s="253"/>
    </row>
    <row r="75" spans="1:20" s="7" customFormat="1" ht="40.5" customHeight="1">
      <c r="A75" s="27"/>
      <c r="B75" s="27"/>
      <c r="C75" s="16">
        <v>6339</v>
      </c>
      <c r="D75" s="17" t="s">
        <v>175</v>
      </c>
      <c r="E75" s="146"/>
      <c r="F75" s="146"/>
      <c r="G75" s="255"/>
      <c r="H75" s="146"/>
      <c r="I75" s="143">
        <v>296793</v>
      </c>
      <c r="J75" s="143"/>
      <c r="K75" s="143"/>
      <c r="L75" s="143"/>
      <c r="M75" s="143"/>
      <c r="N75" s="143"/>
      <c r="O75" s="143"/>
      <c r="P75" s="143"/>
      <c r="Q75" s="252">
        <f>H75+I75+J75+K75+L75+M75+N75+O75+P75</f>
        <v>296793</v>
      </c>
      <c r="R75" s="143"/>
      <c r="S75" s="19">
        <f>Q75+R75</f>
        <v>296793</v>
      </c>
      <c r="T75" s="253"/>
    </row>
    <row r="76" spans="1:20" s="7" customFormat="1" ht="12.75" customHeight="1" hidden="1">
      <c r="A76" s="27"/>
      <c r="B76" s="12">
        <v>80113</v>
      </c>
      <c r="C76" s="12"/>
      <c r="D76" s="13" t="s">
        <v>188</v>
      </c>
      <c r="E76" s="185">
        <f aca="true" t="shared" si="24" ref="E76:S76">E77</f>
        <v>0</v>
      </c>
      <c r="F76" s="185">
        <f t="shared" si="24"/>
        <v>0</v>
      </c>
      <c r="G76" s="257">
        <f t="shared" si="24"/>
        <v>0</v>
      </c>
      <c r="H76" s="185">
        <f t="shared" si="24"/>
        <v>0</v>
      </c>
      <c r="I76" s="183">
        <f t="shared" si="24"/>
        <v>0</v>
      </c>
      <c r="J76" s="183">
        <f t="shared" si="24"/>
        <v>0</v>
      </c>
      <c r="K76" s="183">
        <f t="shared" si="24"/>
        <v>0</v>
      </c>
      <c r="L76" s="183">
        <f t="shared" si="24"/>
        <v>0</v>
      </c>
      <c r="M76" s="183">
        <f t="shared" si="24"/>
        <v>0</v>
      </c>
      <c r="N76" s="183">
        <f t="shared" si="24"/>
        <v>0</v>
      </c>
      <c r="O76" s="183">
        <f t="shared" si="24"/>
        <v>0</v>
      </c>
      <c r="P76" s="183"/>
      <c r="Q76" s="136">
        <f t="shared" si="24"/>
        <v>0</v>
      </c>
      <c r="R76" s="183">
        <f t="shared" si="24"/>
        <v>0</v>
      </c>
      <c r="S76" s="137">
        <f t="shared" si="24"/>
        <v>0</v>
      </c>
      <c r="T76" s="254"/>
    </row>
    <row r="77" spans="1:20" s="7" customFormat="1" ht="12.75" customHeight="1" hidden="1">
      <c r="A77" s="27"/>
      <c r="B77" s="27"/>
      <c r="C77" s="28" t="s">
        <v>119</v>
      </c>
      <c r="D77" s="29" t="s">
        <v>120</v>
      </c>
      <c r="E77" s="146"/>
      <c r="F77" s="146"/>
      <c r="G77" s="255"/>
      <c r="H77" s="146"/>
      <c r="I77" s="143"/>
      <c r="J77" s="143"/>
      <c r="K77" s="143"/>
      <c r="L77" s="143"/>
      <c r="M77" s="143"/>
      <c r="N77" s="143"/>
      <c r="O77" s="143"/>
      <c r="P77" s="143"/>
      <c r="Q77" s="252">
        <f>H77+I77+J77+K77+L77+M77+N77</f>
        <v>0</v>
      </c>
      <c r="R77" s="143"/>
      <c r="S77" s="19">
        <f>J77+K77+L77+M77+N77+O77+P77</f>
        <v>0</v>
      </c>
      <c r="T77" s="253"/>
    </row>
    <row r="78" spans="1:20" s="7" customFormat="1" ht="25.5" customHeight="1">
      <c r="A78" s="27"/>
      <c r="B78" s="12">
        <v>80114</v>
      </c>
      <c r="C78" s="12"/>
      <c r="D78" s="13" t="s">
        <v>176</v>
      </c>
      <c r="E78" s="185">
        <f>E79+E80</f>
        <v>10900</v>
      </c>
      <c r="F78" s="185">
        <f>F79+F80</f>
        <v>10900</v>
      </c>
      <c r="G78" s="257">
        <f>G79+G80</f>
        <v>10900</v>
      </c>
      <c r="H78" s="185">
        <f aca="true" t="shared" si="25" ref="H78:O78">H79+H80</f>
        <v>10900</v>
      </c>
      <c r="I78" s="183">
        <f t="shared" si="25"/>
        <v>0</v>
      </c>
      <c r="J78" s="183">
        <f t="shared" si="25"/>
        <v>0</v>
      </c>
      <c r="K78" s="257">
        <f t="shared" si="25"/>
        <v>-10700</v>
      </c>
      <c r="L78" s="183">
        <f t="shared" si="25"/>
        <v>0</v>
      </c>
      <c r="M78" s="183">
        <f t="shared" si="25"/>
        <v>0</v>
      </c>
      <c r="N78" s="183">
        <f t="shared" si="25"/>
        <v>100</v>
      </c>
      <c r="O78" s="183">
        <f t="shared" si="25"/>
        <v>0</v>
      </c>
      <c r="P78" s="183"/>
      <c r="Q78" s="136">
        <f>H78+I78+J78+K78+L78+M78+N78</f>
        <v>300</v>
      </c>
      <c r="R78" s="183">
        <f>R79+R80</f>
        <v>0</v>
      </c>
      <c r="S78" s="137">
        <f>S79+S80</f>
        <v>300</v>
      </c>
      <c r="T78" s="254"/>
    </row>
    <row r="79" spans="1:20" s="7" customFormat="1" ht="18" customHeight="1">
      <c r="A79" s="27"/>
      <c r="B79" s="27"/>
      <c r="C79" s="16" t="s">
        <v>10</v>
      </c>
      <c r="D79" s="17" t="s">
        <v>11</v>
      </c>
      <c r="E79" s="146">
        <v>100</v>
      </c>
      <c r="F79" s="146">
        <v>100</v>
      </c>
      <c r="G79" s="255">
        <v>100</v>
      </c>
      <c r="H79" s="146">
        <v>100</v>
      </c>
      <c r="I79" s="143"/>
      <c r="J79" s="143"/>
      <c r="K79" s="255"/>
      <c r="L79" s="143"/>
      <c r="M79" s="143"/>
      <c r="N79" s="143">
        <v>100</v>
      </c>
      <c r="O79" s="143"/>
      <c r="P79" s="143"/>
      <c r="Q79" s="252">
        <f>H79+I79+J79+K79+L79+M79+N79+O79+P79</f>
        <v>200</v>
      </c>
      <c r="R79" s="143"/>
      <c r="S79" s="19">
        <f>Q79+R79</f>
        <v>200</v>
      </c>
      <c r="T79" s="253"/>
    </row>
    <row r="80" spans="1:20" s="7" customFormat="1" ht="17.25" customHeight="1">
      <c r="A80" s="27"/>
      <c r="B80" s="27"/>
      <c r="C80" s="28" t="s">
        <v>119</v>
      </c>
      <c r="D80" s="29" t="s">
        <v>120</v>
      </c>
      <c r="E80" s="146">
        <v>10800</v>
      </c>
      <c r="F80" s="146">
        <v>10800</v>
      </c>
      <c r="G80" s="255">
        <v>10800</v>
      </c>
      <c r="H80" s="146">
        <v>10800</v>
      </c>
      <c r="I80" s="143"/>
      <c r="J80" s="143"/>
      <c r="K80" s="255">
        <v>-10700</v>
      </c>
      <c r="L80" s="143"/>
      <c r="M80" s="255"/>
      <c r="N80" s="143"/>
      <c r="O80" s="143"/>
      <c r="P80" s="143"/>
      <c r="Q80" s="252">
        <f>H80+I80+J80+K80+L80+M80+N80+O80+P80</f>
        <v>100</v>
      </c>
      <c r="R80" s="143"/>
      <c r="S80" s="19">
        <f>Q80+R80</f>
        <v>100</v>
      </c>
      <c r="T80" s="253"/>
    </row>
    <row r="81" spans="1:20" s="7" customFormat="1" ht="18" customHeight="1">
      <c r="A81" s="27"/>
      <c r="B81" s="27">
        <v>80195</v>
      </c>
      <c r="C81" s="16"/>
      <c r="D81" s="31" t="s">
        <v>21</v>
      </c>
      <c r="E81" s="185">
        <f>E82</f>
        <v>0</v>
      </c>
      <c r="F81" s="185">
        <f>F82</f>
        <v>0</v>
      </c>
      <c r="G81" s="257">
        <f>G82</f>
        <v>0</v>
      </c>
      <c r="H81" s="185">
        <f>H82</f>
        <v>0</v>
      </c>
      <c r="I81" s="183">
        <f aca="true" t="shared" si="26" ref="I81:S81">I82</f>
        <v>0</v>
      </c>
      <c r="J81" s="183">
        <f t="shared" si="26"/>
        <v>0</v>
      </c>
      <c r="K81" s="183">
        <f t="shared" si="26"/>
        <v>0</v>
      </c>
      <c r="L81" s="183">
        <f t="shared" si="26"/>
        <v>14067</v>
      </c>
      <c r="M81" s="183">
        <f t="shared" si="26"/>
        <v>0</v>
      </c>
      <c r="N81" s="183">
        <f t="shared" si="26"/>
        <v>0</v>
      </c>
      <c r="O81" s="183">
        <f t="shared" si="26"/>
        <v>14067</v>
      </c>
      <c r="P81" s="183"/>
      <c r="Q81" s="23">
        <f t="shared" si="26"/>
        <v>28134</v>
      </c>
      <c r="R81" s="183">
        <f t="shared" si="26"/>
        <v>8212</v>
      </c>
      <c r="S81" s="24">
        <f t="shared" si="26"/>
        <v>36346</v>
      </c>
      <c r="T81" s="254"/>
    </row>
    <row r="82" spans="1:20" s="7" customFormat="1" ht="157.5">
      <c r="A82" s="27"/>
      <c r="B82" s="27"/>
      <c r="C82" s="28">
        <v>2030</v>
      </c>
      <c r="D82" s="29" t="s">
        <v>18</v>
      </c>
      <c r="E82" s="146"/>
      <c r="F82" s="146"/>
      <c r="G82" s="255"/>
      <c r="H82" s="146"/>
      <c r="I82" s="143"/>
      <c r="J82" s="143"/>
      <c r="K82" s="143"/>
      <c r="L82" s="143">
        <v>14067</v>
      </c>
      <c r="M82" s="143"/>
      <c r="N82" s="143"/>
      <c r="O82" s="143">
        <v>14067</v>
      </c>
      <c r="P82" s="143"/>
      <c r="Q82" s="252">
        <f>H82+I82+J82+K82+L82+M82+N82+O82+P82</f>
        <v>28134</v>
      </c>
      <c r="R82" s="143">
        <f>360+5622+2230</f>
        <v>8212</v>
      </c>
      <c r="S82" s="19">
        <f>Q82+R82</f>
        <v>36346</v>
      </c>
      <c r="T82" s="259" t="s">
        <v>263</v>
      </c>
    </row>
    <row r="83" spans="1:20" s="7" customFormat="1" ht="16.5" customHeight="1">
      <c r="A83" s="9">
        <v>852</v>
      </c>
      <c r="B83" s="9"/>
      <c r="C83" s="9"/>
      <c r="D83" s="10" t="s">
        <v>205</v>
      </c>
      <c r="E83" s="135">
        <f>E87+E89+E92+E94+E84+E99</f>
        <v>2477500</v>
      </c>
      <c r="F83" s="135">
        <f>F87+F89+F92+F94+F84+F99</f>
        <v>2477500</v>
      </c>
      <c r="G83" s="153">
        <f>G87+G89+G92+G94+G84+G99</f>
        <v>2477500</v>
      </c>
      <c r="H83" s="135">
        <f>H87+H89+H92+H94+H84+H99</f>
        <v>2477500</v>
      </c>
      <c r="I83" s="153">
        <f aca="true" t="shared" si="27" ref="I83:N83">I87+I89+I92+I94+I84+I99</f>
        <v>-233500</v>
      </c>
      <c r="J83" s="11">
        <f t="shared" si="27"/>
        <v>2000</v>
      </c>
      <c r="K83" s="11">
        <f t="shared" si="27"/>
        <v>14060</v>
      </c>
      <c r="L83" s="11">
        <f t="shared" si="27"/>
        <v>0</v>
      </c>
      <c r="M83" s="11">
        <f t="shared" si="27"/>
        <v>8341</v>
      </c>
      <c r="N83" s="11">
        <f t="shared" si="27"/>
        <v>0</v>
      </c>
      <c r="O83" s="153">
        <f>O87+O89+O92+O94+O84+O99</f>
        <v>-90000</v>
      </c>
      <c r="P83" s="11"/>
      <c r="Q83" s="135">
        <f>Q87+Q89+Q92+Q94+Q84+Q99</f>
        <v>2178401</v>
      </c>
      <c r="R83" s="11">
        <f>R87+R89+R92+R94+R84+R99</f>
        <v>4358</v>
      </c>
      <c r="S83" s="135">
        <f>S87+S89+S92+S94+S84+S99</f>
        <v>2182759</v>
      </c>
      <c r="T83" s="256"/>
    </row>
    <row r="84" spans="1:20" s="156" customFormat="1" ht="59.25" customHeight="1">
      <c r="A84" s="22"/>
      <c r="B84" s="12">
        <v>85212</v>
      </c>
      <c r="C84" s="12"/>
      <c r="D84" s="13" t="s">
        <v>206</v>
      </c>
      <c r="E84" s="136">
        <f aca="true" t="shared" si="28" ref="E84:O84">E85</f>
        <v>2302100</v>
      </c>
      <c r="F84" s="136">
        <f t="shared" si="28"/>
        <v>2302100</v>
      </c>
      <c r="G84" s="154">
        <f t="shared" si="28"/>
        <v>2302100</v>
      </c>
      <c r="H84" s="136">
        <f>H85+H86</f>
        <v>2302100</v>
      </c>
      <c r="I84" s="154">
        <f t="shared" si="28"/>
        <v>-229500</v>
      </c>
      <c r="J84" s="14">
        <f>J85+J86</f>
        <v>2000</v>
      </c>
      <c r="K84" s="14">
        <f t="shared" si="28"/>
        <v>0</v>
      </c>
      <c r="L84" s="14">
        <f t="shared" si="28"/>
        <v>0</v>
      </c>
      <c r="M84" s="14">
        <f t="shared" si="28"/>
        <v>0</v>
      </c>
      <c r="N84" s="14">
        <f t="shared" si="28"/>
        <v>0</v>
      </c>
      <c r="O84" s="154">
        <f t="shared" si="28"/>
        <v>-90000</v>
      </c>
      <c r="P84" s="14"/>
      <c r="Q84" s="136">
        <f>Q85+Q86</f>
        <v>1984600</v>
      </c>
      <c r="R84" s="14">
        <f>R85</f>
        <v>0</v>
      </c>
      <c r="S84" s="137">
        <f>S85+S86</f>
        <v>1984600</v>
      </c>
      <c r="T84" s="254"/>
    </row>
    <row r="85" spans="1:20" s="156" customFormat="1" ht="57" customHeight="1">
      <c r="A85" s="22"/>
      <c r="B85" s="12"/>
      <c r="C85" s="15">
        <v>2010</v>
      </c>
      <c r="D85" s="17" t="s">
        <v>13</v>
      </c>
      <c r="E85" s="204">
        <v>2302100</v>
      </c>
      <c r="F85" s="204">
        <v>2302100</v>
      </c>
      <c r="G85" s="25">
        <v>2302100</v>
      </c>
      <c r="H85" s="204">
        <v>2302100</v>
      </c>
      <c r="I85" s="25">
        <v>-229500</v>
      </c>
      <c r="J85" s="26"/>
      <c r="K85" s="26"/>
      <c r="L85" s="26"/>
      <c r="M85" s="26"/>
      <c r="N85" s="26"/>
      <c r="O85" s="25">
        <v>-90000</v>
      </c>
      <c r="P85" s="26"/>
      <c r="Q85" s="252">
        <f>H85+I85+J85+K85+L85+M85+N85+O85+P85</f>
        <v>1982600</v>
      </c>
      <c r="R85" s="26"/>
      <c r="S85" s="19">
        <f>Q85+R85</f>
        <v>1982600</v>
      </c>
      <c r="T85" s="253"/>
    </row>
    <row r="86" spans="1:20" s="156" customFormat="1" ht="56.25" customHeight="1">
      <c r="A86" s="22"/>
      <c r="B86" s="12"/>
      <c r="C86" s="15">
        <v>2360</v>
      </c>
      <c r="D86" s="17" t="s">
        <v>198</v>
      </c>
      <c r="E86" s="204"/>
      <c r="F86" s="204"/>
      <c r="G86" s="25"/>
      <c r="H86" s="204"/>
      <c r="I86" s="25"/>
      <c r="J86" s="26">
        <v>2000</v>
      </c>
      <c r="K86" s="26"/>
      <c r="L86" s="26"/>
      <c r="M86" s="26"/>
      <c r="N86" s="26"/>
      <c r="O86" s="26"/>
      <c r="P86" s="26"/>
      <c r="Q86" s="252">
        <f>H86+I86+J86+K86+L86+M86+N86+O86+P86</f>
        <v>2000</v>
      </c>
      <c r="R86" s="26"/>
      <c r="S86" s="19">
        <f>Q86+R86</f>
        <v>2000</v>
      </c>
      <c r="T86" s="253"/>
    </row>
    <row r="87" spans="1:20" s="156" customFormat="1" ht="56.25" customHeight="1">
      <c r="A87" s="22"/>
      <c r="B87" s="12">
        <v>85213</v>
      </c>
      <c r="C87" s="12"/>
      <c r="D87" s="13" t="s">
        <v>207</v>
      </c>
      <c r="E87" s="136">
        <f aca="true" t="shared" si="29" ref="E87:S87">E88</f>
        <v>11700</v>
      </c>
      <c r="F87" s="136">
        <f t="shared" si="29"/>
        <v>11700</v>
      </c>
      <c r="G87" s="154">
        <f t="shared" si="29"/>
        <v>11700</v>
      </c>
      <c r="H87" s="136">
        <f t="shared" si="29"/>
        <v>11700</v>
      </c>
      <c r="I87" s="154">
        <f t="shared" si="29"/>
        <v>-1400</v>
      </c>
      <c r="J87" s="14">
        <f t="shared" si="29"/>
        <v>0</v>
      </c>
      <c r="K87" s="14">
        <f t="shared" si="29"/>
        <v>0</v>
      </c>
      <c r="L87" s="14">
        <f t="shared" si="29"/>
        <v>0</v>
      </c>
      <c r="M87" s="14">
        <f t="shared" si="29"/>
        <v>0</v>
      </c>
      <c r="N87" s="14">
        <f t="shared" si="29"/>
        <v>0</v>
      </c>
      <c r="O87" s="14">
        <f t="shared" si="29"/>
        <v>0</v>
      </c>
      <c r="P87" s="14"/>
      <c r="Q87" s="136">
        <f t="shared" si="29"/>
        <v>10300</v>
      </c>
      <c r="R87" s="14">
        <f t="shared" si="29"/>
        <v>0</v>
      </c>
      <c r="S87" s="137">
        <f t="shared" si="29"/>
        <v>10300</v>
      </c>
      <c r="T87" s="254"/>
    </row>
    <row r="88" spans="1:20" s="156" customFormat="1" ht="53.25" customHeight="1">
      <c r="A88" s="22"/>
      <c r="B88" s="22"/>
      <c r="C88" s="15">
        <v>2010</v>
      </c>
      <c r="D88" s="17" t="s">
        <v>13</v>
      </c>
      <c r="E88" s="204">
        <v>11700</v>
      </c>
      <c r="F88" s="204">
        <v>11700</v>
      </c>
      <c r="G88" s="25">
        <v>11700</v>
      </c>
      <c r="H88" s="204">
        <v>11700</v>
      </c>
      <c r="I88" s="25">
        <v>-1400</v>
      </c>
      <c r="J88" s="26"/>
      <c r="K88" s="26"/>
      <c r="L88" s="26"/>
      <c r="M88" s="25"/>
      <c r="N88" s="26"/>
      <c r="O88" s="26"/>
      <c r="P88" s="26"/>
      <c r="Q88" s="252">
        <f>H88+I88+J88+K88+L88+M88+N88+O88+P88</f>
        <v>10300</v>
      </c>
      <c r="R88" s="26"/>
      <c r="S88" s="19">
        <f>Q88+R88</f>
        <v>10300</v>
      </c>
      <c r="T88" s="253"/>
    </row>
    <row r="89" spans="1:20" s="7" customFormat="1" ht="32.25" customHeight="1">
      <c r="A89" s="12"/>
      <c r="B89" s="12">
        <v>85214</v>
      </c>
      <c r="C89" s="12"/>
      <c r="D89" s="13" t="s">
        <v>208</v>
      </c>
      <c r="E89" s="185">
        <f>E90+E91</f>
        <v>72700</v>
      </c>
      <c r="F89" s="185">
        <f>F90+F91</f>
        <v>72700</v>
      </c>
      <c r="G89" s="257">
        <f>G90+G91</f>
        <v>72700</v>
      </c>
      <c r="H89" s="185">
        <f>H90+H91</f>
        <v>72700</v>
      </c>
      <c r="I89" s="257">
        <f aca="true" t="shared" si="30" ref="I89:Q89">I90+I91</f>
        <v>-2600</v>
      </c>
      <c r="J89" s="183">
        <f t="shared" si="30"/>
        <v>0</v>
      </c>
      <c r="K89" s="183">
        <f t="shared" si="30"/>
        <v>1859</v>
      </c>
      <c r="L89" s="183">
        <f t="shared" si="30"/>
        <v>0</v>
      </c>
      <c r="M89" s="183">
        <f t="shared" si="30"/>
        <v>0</v>
      </c>
      <c r="N89" s="183">
        <f t="shared" si="30"/>
        <v>0</v>
      </c>
      <c r="O89" s="183">
        <f>O90+O91</f>
        <v>0</v>
      </c>
      <c r="P89" s="183"/>
      <c r="Q89" s="136">
        <f t="shared" si="30"/>
        <v>71959</v>
      </c>
      <c r="R89" s="183">
        <f>R90+R91</f>
        <v>0</v>
      </c>
      <c r="S89" s="137">
        <f>S90+S91</f>
        <v>71959</v>
      </c>
      <c r="T89" s="254"/>
    </row>
    <row r="90" spans="1:20" s="7" customFormat="1" ht="60" customHeight="1">
      <c r="A90" s="12"/>
      <c r="B90" s="15"/>
      <c r="C90" s="15">
        <v>2010</v>
      </c>
      <c r="D90" s="17" t="s">
        <v>13</v>
      </c>
      <c r="E90" s="146">
        <v>34200</v>
      </c>
      <c r="F90" s="146">
        <v>34200</v>
      </c>
      <c r="G90" s="255">
        <v>34200</v>
      </c>
      <c r="H90" s="146">
        <v>34200</v>
      </c>
      <c r="I90" s="255">
        <v>-2600</v>
      </c>
      <c r="J90" s="143"/>
      <c r="K90" s="26">
        <v>1859</v>
      </c>
      <c r="L90" s="143"/>
      <c r="M90" s="143"/>
      <c r="N90" s="143"/>
      <c r="O90" s="143"/>
      <c r="P90" s="143"/>
      <c r="Q90" s="252">
        <f>H90+I90+J90+K90+L90+M90+N90+O90+P90</f>
        <v>33459</v>
      </c>
      <c r="R90" s="143"/>
      <c r="S90" s="19">
        <f>Q90+R90</f>
        <v>33459</v>
      </c>
      <c r="T90" s="253"/>
    </row>
    <row r="91" spans="1:20" s="7" customFormat="1" ht="38.25">
      <c r="A91" s="12"/>
      <c r="B91" s="15"/>
      <c r="C91" s="28">
        <v>2030</v>
      </c>
      <c r="D91" s="29" t="s">
        <v>18</v>
      </c>
      <c r="E91" s="146">
        <v>38500</v>
      </c>
      <c r="F91" s="146">
        <v>38500</v>
      </c>
      <c r="G91" s="255">
        <v>38500</v>
      </c>
      <c r="H91" s="146">
        <v>38500</v>
      </c>
      <c r="I91" s="143"/>
      <c r="J91" s="143"/>
      <c r="K91" s="143"/>
      <c r="L91" s="143"/>
      <c r="M91" s="143"/>
      <c r="N91" s="143"/>
      <c r="O91" s="143"/>
      <c r="P91" s="143"/>
      <c r="Q91" s="252">
        <f>H91+I91+J91+K91+L91+M91+N91+O91+P91</f>
        <v>38500</v>
      </c>
      <c r="R91" s="143"/>
      <c r="S91" s="19">
        <f>Q91+R91</f>
        <v>38500</v>
      </c>
      <c r="T91" s="253"/>
    </row>
    <row r="92" spans="1:20" s="7" customFormat="1" ht="12.75" customHeight="1" hidden="1">
      <c r="A92" s="12"/>
      <c r="B92" s="12">
        <v>85216</v>
      </c>
      <c r="C92" s="12"/>
      <c r="D92" s="13" t="s">
        <v>264</v>
      </c>
      <c r="E92" s="185">
        <f aca="true" t="shared" si="31" ref="E92:O92">E93</f>
        <v>0</v>
      </c>
      <c r="F92" s="185">
        <f t="shared" si="31"/>
        <v>0</v>
      </c>
      <c r="G92" s="257">
        <f t="shared" si="31"/>
        <v>0</v>
      </c>
      <c r="H92" s="185">
        <f t="shared" si="31"/>
        <v>0</v>
      </c>
      <c r="I92" s="183">
        <f t="shared" si="31"/>
        <v>0</v>
      </c>
      <c r="J92" s="183">
        <f t="shared" si="31"/>
        <v>0</v>
      </c>
      <c r="K92" s="183">
        <f t="shared" si="31"/>
        <v>0</v>
      </c>
      <c r="L92" s="183">
        <f t="shared" si="31"/>
        <v>0</v>
      </c>
      <c r="M92" s="183">
        <f t="shared" si="31"/>
        <v>0</v>
      </c>
      <c r="N92" s="183">
        <f t="shared" si="31"/>
        <v>0</v>
      </c>
      <c r="O92" s="183">
        <f t="shared" si="31"/>
        <v>0</v>
      </c>
      <c r="P92" s="183"/>
      <c r="Q92" s="136">
        <f>Q93</f>
        <v>0</v>
      </c>
      <c r="R92" s="183">
        <f>R93</f>
        <v>0</v>
      </c>
      <c r="S92" s="137">
        <f>S93</f>
        <v>0</v>
      </c>
      <c r="T92" s="254"/>
    </row>
    <row r="93" spans="1:20" s="7" customFormat="1" ht="38.25" customHeight="1" hidden="1">
      <c r="A93" s="12"/>
      <c r="B93" s="15"/>
      <c r="C93" s="15">
        <v>2010</v>
      </c>
      <c r="D93" s="17" t="s">
        <v>13</v>
      </c>
      <c r="E93" s="146"/>
      <c r="F93" s="146"/>
      <c r="G93" s="255"/>
      <c r="H93" s="146"/>
      <c r="I93" s="143"/>
      <c r="J93" s="143"/>
      <c r="K93" s="143"/>
      <c r="L93" s="143"/>
      <c r="M93" s="143"/>
      <c r="N93" s="143"/>
      <c r="O93" s="143"/>
      <c r="P93" s="143"/>
      <c r="Q93" s="252">
        <f>H93+I93+J93+K93+L93+M93+N93</f>
        <v>0</v>
      </c>
      <c r="R93" s="143"/>
      <c r="S93" s="19">
        <f>J93+K93+L93+M93+N93+O93+P93</f>
        <v>0</v>
      </c>
      <c r="T93" s="253"/>
    </row>
    <row r="94" spans="1:20" s="7" customFormat="1" ht="12.75">
      <c r="A94" s="12"/>
      <c r="B94" s="12">
        <v>85219</v>
      </c>
      <c r="C94" s="12"/>
      <c r="D94" s="13" t="s">
        <v>209</v>
      </c>
      <c r="E94" s="185">
        <f>E95+E96</f>
        <v>73200</v>
      </c>
      <c r="F94" s="185">
        <f>F95+F96</f>
        <v>73200</v>
      </c>
      <c r="G94" s="257">
        <f>G95+G96</f>
        <v>73200</v>
      </c>
      <c r="H94" s="185">
        <f>H95+H96</f>
        <v>73200</v>
      </c>
      <c r="I94" s="183">
        <f aca="true" t="shared" si="32" ref="I94:Q94">I95+I96</f>
        <v>0</v>
      </c>
      <c r="J94" s="183">
        <f t="shared" si="32"/>
        <v>0</v>
      </c>
      <c r="K94" s="183">
        <f t="shared" si="32"/>
        <v>0</v>
      </c>
      <c r="L94" s="183">
        <f t="shared" si="32"/>
        <v>0</v>
      </c>
      <c r="M94" s="183">
        <f t="shared" si="32"/>
        <v>0</v>
      </c>
      <c r="N94" s="183">
        <f t="shared" si="32"/>
        <v>0</v>
      </c>
      <c r="O94" s="183">
        <f>O95+O96</f>
        <v>0</v>
      </c>
      <c r="P94" s="183"/>
      <c r="Q94" s="136">
        <f t="shared" si="32"/>
        <v>73200</v>
      </c>
      <c r="R94" s="183">
        <f>R95+R96</f>
        <v>0</v>
      </c>
      <c r="S94" s="137">
        <f>S95+S96</f>
        <v>73200</v>
      </c>
      <c r="T94" s="254"/>
    </row>
    <row r="95" spans="1:20" s="7" customFormat="1" ht="44.25" customHeight="1">
      <c r="A95" s="12"/>
      <c r="B95" s="15"/>
      <c r="C95" s="28">
        <v>2030</v>
      </c>
      <c r="D95" s="29" t="s">
        <v>18</v>
      </c>
      <c r="E95" s="146">
        <v>73100</v>
      </c>
      <c r="F95" s="146">
        <v>73100</v>
      </c>
      <c r="G95" s="255">
        <v>73100</v>
      </c>
      <c r="H95" s="146">
        <v>73100</v>
      </c>
      <c r="I95" s="143"/>
      <c r="J95" s="143"/>
      <c r="K95" s="143"/>
      <c r="L95" s="143"/>
      <c r="M95" s="143"/>
      <c r="N95" s="143"/>
      <c r="O95" s="143"/>
      <c r="P95" s="143"/>
      <c r="Q95" s="252">
        <f>H95+I95+J95+K95+L95+M95+N95+O95+P95</f>
        <v>73100</v>
      </c>
      <c r="R95" s="143"/>
      <c r="S95" s="19">
        <f>Q95+R95</f>
        <v>73100</v>
      </c>
      <c r="T95" s="253"/>
    </row>
    <row r="96" spans="1:20" s="258" customFormat="1" ht="17.25" customHeight="1">
      <c r="A96" s="12"/>
      <c r="B96" s="12"/>
      <c r="C96" s="16" t="s">
        <v>10</v>
      </c>
      <c r="D96" s="17" t="s">
        <v>11</v>
      </c>
      <c r="E96" s="146">
        <v>100</v>
      </c>
      <c r="F96" s="146">
        <v>100</v>
      </c>
      <c r="G96" s="255">
        <v>100</v>
      </c>
      <c r="H96" s="146">
        <v>100</v>
      </c>
      <c r="I96" s="143"/>
      <c r="J96" s="143"/>
      <c r="K96" s="143"/>
      <c r="L96" s="143"/>
      <c r="M96" s="143"/>
      <c r="N96" s="143"/>
      <c r="O96" s="143"/>
      <c r="P96" s="143"/>
      <c r="Q96" s="252">
        <f>H96+I96+J96+K96+L96+M96+N96+O96+P96</f>
        <v>100</v>
      </c>
      <c r="R96" s="143"/>
      <c r="S96" s="19">
        <f>Q96+R96</f>
        <v>100</v>
      </c>
      <c r="T96" s="253"/>
    </row>
    <row r="97" spans="1:20" s="260" customFormat="1" ht="12.75" customHeight="1" hidden="1">
      <c r="A97" s="155"/>
      <c r="B97" s="155">
        <v>85278</v>
      </c>
      <c r="C97" s="155"/>
      <c r="D97" s="31" t="s">
        <v>265</v>
      </c>
      <c r="E97" s="185">
        <f aca="true" t="shared" si="33" ref="E97:S97">E98</f>
        <v>0</v>
      </c>
      <c r="F97" s="185">
        <f t="shared" si="33"/>
        <v>0</v>
      </c>
      <c r="G97" s="257">
        <f t="shared" si="33"/>
        <v>0</v>
      </c>
      <c r="H97" s="185">
        <f t="shared" si="33"/>
        <v>0</v>
      </c>
      <c r="I97" s="183">
        <f t="shared" si="33"/>
        <v>0</v>
      </c>
      <c r="J97" s="183">
        <f t="shared" si="33"/>
        <v>0</v>
      </c>
      <c r="K97" s="183">
        <f t="shared" si="33"/>
        <v>0</v>
      </c>
      <c r="L97" s="183">
        <f t="shared" si="33"/>
        <v>0</v>
      </c>
      <c r="M97" s="183">
        <f t="shared" si="33"/>
        <v>0</v>
      </c>
      <c r="N97" s="183">
        <f t="shared" si="33"/>
        <v>0</v>
      </c>
      <c r="O97" s="183">
        <f t="shared" si="33"/>
        <v>0</v>
      </c>
      <c r="P97" s="183"/>
      <c r="Q97" s="23">
        <f t="shared" si="33"/>
        <v>0</v>
      </c>
      <c r="R97" s="183">
        <f t="shared" si="33"/>
        <v>0</v>
      </c>
      <c r="S97" s="24">
        <f t="shared" si="33"/>
        <v>0</v>
      </c>
      <c r="T97" s="254"/>
    </row>
    <row r="98" spans="1:20" s="258" customFormat="1" ht="38.25" customHeight="1" hidden="1">
      <c r="A98" s="12"/>
      <c r="B98" s="12"/>
      <c r="C98" s="15">
        <v>2010</v>
      </c>
      <c r="D98" s="17" t="s">
        <v>13</v>
      </c>
      <c r="E98" s="182"/>
      <c r="F98" s="182"/>
      <c r="G98" s="261"/>
      <c r="H98" s="182"/>
      <c r="I98" s="262"/>
      <c r="J98" s="262"/>
      <c r="K98" s="262"/>
      <c r="L98" s="262"/>
      <c r="M98" s="262"/>
      <c r="N98" s="262"/>
      <c r="O98" s="262"/>
      <c r="P98" s="262"/>
      <c r="Q98" s="252">
        <f>H98+I98+J98+K98+L98+M98+N98</f>
        <v>0</v>
      </c>
      <c r="R98" s="262"/>
      <c r="S98" s="19">
        <f>J98+K98+L98+M98+N98+O98+P98</f>
        <v>0</v>
      </c>
      <c r="T98" s="253"/>
    </row>
    <row r="99" spans="1:20" s="260" customFormat="1" ht="16.5" customHeight="1">
      <c r="A99" s="155"/>
      <c r="B99" s="155">
        <v>85295</v>
      </c>
      <c r="C99" s="155"/>
      <c r="D99" s="31" t="s">
        <v>21</v>
      </c>
      <c r="E99" s="185">
        <f aca="true" t="shared" si="34" ref="E99:S99">E100</f>
        <v>17800</v>
      </c>
      <c r="F99" s="185">
        <f t="shared" si="34"/>
        <v>17800</v>
      </c>
      <c r="G99" s="257">
        <f t="shared" si="34"/>
        <v>17800</v>
      </c>
      <c r="H99" s="185">
        <f t="shared" si="34"/>
        <v>17800</v>
      </c>
      <c r="I99" s="183">
        <f t="shared" si="34"/>
        <v>0</v>
      </c>
      <c r="J99" s="183">
        <f t="shared" si="34"/>
        <v>0</v>
      </c>
      <c r="K99" s="183">
        <f t="shared" si="34"/>
        <v>12201</v>
      </c>
      <c r="L99" s="183">
        <f t="shared" si="34"/>
        <v>0</v>
      </c>
      <c r="M99" s="183">
        <f t="shared" si="34"/>
        <v>8341</v>
      </c>
      <c r="N99" s="183">
        <f t="shared" si="34"/>
        <v>0</v>
      </c>
      <c r="O99" s="183">
        <f t="shared" si="34"/>
        <v>0</v>
      </c>
      <c r="P99" s="183"/>
      <c r="Q99" s="23">
        <f t="shared" si="34"/>
        <v>38342</v>
      </c>
      <c r="R99" s="183">
        <f t="shared" si="34"/>
        <v>4358</v>
      </c>
      <c r="S99" s="24">
        <f t="shared" si="34"/>
        <v>42700</v>
      </c>
      <c r="T99" s="254"/>
    </row>
    <row r="100" spans="1:20" s="258" customFormat="1" ht="45">
      <c r="A100" s="12"/>
      <c r="B100" s="12"/>
      <c r="C100" s="28">
        <v>2030</v>
      </c>
      <c r="D100" s="29" t="s">
        <v>18</v>
      </c>
      <c r="E100" s="146">
        <v>17800</v>
      </c>
      <c r="F100" s="146">
        <v>17800</v>
      </c>
      <c r="G100" s="255">
        <v>17800</v>
      </c>
      <c r="H100" s="146">
        <v>17800</v>
      </c>
      <c r="I100" s="143"/>
      <c r="J100" s="143"/>
      <c r="K100" s="143">
        <v>12201</v>
      </c>
      <c r="L100" s="143"/>
      <c r="M100" s="143">
        <v>8341</v>
      </c>
      <c r="N100" s="143"/>
      <c r="O100" s="143"/>
      <c r="P100" s="143"/>
      <c r="Q100" s="252">
        <f>H100+I100+J100+K100+L100+M100+N100+O100+P100</f>
        <v>38342</v>
      </c>
      <c r="R100" s="143">
        <v>4358</v>
      </c>
      <c r="S100" s="19">
        <f>Q100+R100</f>
        <v>42700</v>
      </c>
      <c r="T100" s="253" t="s">
        <v>266</v>
      </c>
    </row>
    <row r="101" spans="1:20" s="7" customFormat="1" ht="12.75" customHeight="1">
      <c r="A101" s="9">
        <v>854</v>
      </c>
      <c r="B101" s="9"/>
      <c r="C101" s="9"/>
      <c r="D101" s="10" t="s">
        <v>267</v>
      </c>
      <c r="E101" s="135">
        <f>E102</f>
        <v>0</v>
      </c>
      <c r="F101" s="135">
        <f>F102</f>
        <v>0</v>
      </c>
      <c r="G101" s="153">
        <f>G102</f>
        <v>0</v>
      </c>
      <c r="H101" s="135">
        <f>H102</f>
        <v>0</v>
      </c>
      <c r="I101" s="11">
        <f aca="true" t="shared" si="35" ref="I101:S102">I102</f>
        <v>0</v>
      </c>
      <c r="J101" s="11">
        <f t="shared" si="35"/>
        <v>0</v>
      </c>
      <c r="K101" s="11">
        <f t="shared" si="35"/>
        <v>22419</v>
      </c>
      <c r="L101" s="11">
        <f t="shared" si="35"/>
        <v>0</v>
      </c>
      <c r="M101" s="11">
        <f t="shared" si="35"/>
        <v>0</v>
      </c>
      <c r="N101" s="11">
        <f t="shared" si="35"/>
        <v>65409</v>
      </c>
      <c r="O101" s="11">
        <f t="shared" si="35"/>
        <v>0</v>
      </c>
      <c r="P101" s="11"/>
      <c r="Q101" s="135">
        <f t="shared" si="35"/>
        <v>87828</v>
      </c>
      <c r="R101" s="11">
        <f t="shared" si="35"/>
        <v>15929</v>
      </c>
      <c r="S101" s="135">
        <f t="shared" si="35"/>
        <v>103757</v>
      </c>
      <c r="T101" s="256"/>
    </row>
    <row r="102" spans="1:20" s="258" customFormat="1" ht="12.75" customHeight="1">
      <c r="A102" s="12"/>
      <c r="B102" s="12">
        <v>85415</v>
      </c>
      <c r="C102" s="28"/>
      <c r="D102" s="263" t="s">
        <v>268</v>
      </c>
      <c r="E102" s="185">
        <f aca="true" t="shared" si="36" ref="E102:O102">E103</f>
        <v>0</v>
      </c>
      <c r="F102" s="185">
        <f t="shared" si="36"/>
        <v>0</v>
      </c>
      <c r="G102" s="257">
        <f t="shared" si="36"/>
        <v>0</v>
      </c>
      <c r="H102" s="185">
        <f t="shared" si="36"/>
        <v>0</v>
      </c>
      <c r="I102" s="183">
        <f t="shared" si="36"/>
        <v>0</v>
      </c>
      <c r="J102" s="183">
        <f t="shared" si="35"/>
        <v>0</v>
      </c>
      <c r="K102" s="183">
        <f t="shared" si="36"/>
        <v>22419</v>
      </c>
      <c r="L102" s="183">
        <f t="shared" si="35"/>
        <v>0</v>
      </c>
      <c r="M102" s="183">
        <f t="shared" si="36"/>
        <v>0</v>
      </c>
      <c r="N102" s="183">
        <f t="shared" si="36"/>
        <v>65409</v>
      </c>
      <c r="O102" s="183">
        <f t="shared" si="36"/>
        <v>0</v>
      </c>
      <c r="P102" s="183"/>
      <c r="Q102" s="23">
        <f>Q103</f>
        <v>87828</v>
      </c>
      <c r="R102" s="183">
        <f t="shared" si="35"/>
        <v>15929</v>
      </c>
      <c r="S102" s="24">
        <f t="shared" si="35"/>
        <v>103757</v>
      </c>
      <c r="T102" s="254"/>
    </row>
    <row r="103" spans="1:20" s="258" customFormat="1" ht="112.5">
      <c r="A103" s="12"/>
      <c r="B103" s="12"/>
      <c r="C103" s="28">
        <v>2030</v>
      </c>
      <c r="D103" s="29" t="s">
        <v>18</v>
      </c>
      <c r="E103" s="182"/>
      <c r="F103" s="182"/>
      <c r="G103" s="261"/>
      <c r="H103" s="182"/>
      <c r="I103" s="262"/>
      <c r="J103" s="264"/>
      <c r="K103" s="264">
        <f>22419</f>
        <v>22419</v>
      </c>
      <c r="L103" s="262"/>
      <c r="M103" s="262"/>
      <c r="N103" s="264">
        <f>9409+56000</f>
        <v>65409</v>
      </c>
      <c r="O103" s="264"/>
      <c r="P103" s="264"/>
      <c r="Q103" s="252">
        <f>H103+I103+J103+K103+L103+M103+N103+O103+P103</f>
        <v>87828</v>
      </c>
      <c r="R103" s="264">
        <f>523+287+2691+12428</f>
        <v>15929</v>
      </c>
      <c r="S103" s="19">
        <f>Q103+R103</f>
        <v>103757</v>
      </c>
      <c r="T103" s="259" t="s">
        <v>269</v>
      </c>
    </row>
    <row r="104" spans="1:20" s="7" customFormat="1" ht="12.75" customHeight="1" hidden="1">
      <c r="A104" s="265">
        <v>921</v>
      </c>
      <c r="B104" s="9"/>
      <c r="C104" s="9"/>
      <c r="D104" s="10" t="s">
        <v>270</v>
      </c>
      <c r="E104" s="135">
        <f aca="true" t="shared" si="37" ref="E104:O105">E105</f>
        <v>0</v>
      </c>
      <c r="F104" s="135">
        <f t="shared" si="37"/>
        <v>0</v>
      </c>
      <c r="G104" s="153">
        <f t="shared" si="37"/>
        <v>0</v>
      </c>
      <c r="H104" s="135">
        <f t="shared" si="37"/>
        <v>0</v>
      </c>
      <c r="I104" s="11">
        <f t="shared" si="37"/>
        <v>0</v>
      </c>
      <c r="J104" s="11">
        <f t="shared" si="37"/>
        <v>0</v>
      </c>
      <c r="K104" s="11">
        <f t="shared" si="37"/>
        <v>0</v>
      </c>
      <c r="L104" s="11">
        <f t="shared" si="37"/>
        <v>0</v>
      </c>
      <c r="M104" s="11">
        <f t="shared" si="37"/>
        <v>0</v>
      </c>
      <c r="N104" s="11">
        <f t="shared" si="37"/>
        <v>0</v>
      </c>
      <c r="O104" s="11">
        <f t="shared" si="37"/>
        <v>0</v>
      </c>
      <c r="P104" s="11"/>
      <c r="Q104" s="23">
        <f aca="true" t="shared" si="38" ref="Q104:S105">Q105</f>
        <v>0</v>
      </c>
      <c r="R104" s="11">
        <f t="shared" si="38"/>
        <v>0</v>
      </c>
      <c r="S104" s="21">
        <f t="shared" si="38"/>
        <v>0</v>
      </c>
      <c r="T104" s="254"/>
    </row>
    <row r="105" spans="1:20" s="7" customFormat="1" ht="12.75" customHeight="1" hidden="1">
      <c r="A105" s="15"/>
      <c r="B105" s="12">
        <v>92116</v>
      </c>
      <c r="C105" s="12"/>
      <c r="D105" s="13" t="s">
        <v>271</v>
      </c>
      <c r="E105" s="185">
        <f t="shared" si="37"/>
        <v>0</v>
      </c>
      <c r="F105" s="185">
        <f t="shared" si="37"/>
        <v>0</v>
      </c>
      <c r="G105" s="257">
        <f t="shared" si="37"/>
        <v>0</v>
      </c>
      <c r="H105" s="185">
        <f t="shared" si="37"/>
        <v>0</v>
      </c>
      <c r="I105" s="183">
        <f t="shared" si="37"/>
        <v>0</v>
      </c>
      <c r="J105" s="183">
        <f t="shared" si="37"/>
        <v>0</v>
      </c>
      <c r="K105" s="183">
        <f t="shared" si="37"/>
        <v>0</v>
      </c>
      <c r="L105" s="183">
        <f t="shared" si="37"/>
        <v>0</v>
      </c>
      <c r="M105" s="183">
        <f t="shared" si="37"/>
        <v>0</v>
      </c>
      <c r="N105" s="183">
        <f t="shared" si="37"/>
        <v>0</v>
      </c>
      <c r="O105" s="183">
        <f t="shared" si="37"/>
        <v>0</v>
      </c>
      <c r="P105" s="183"/>
      <c r="Q105" s="23">
        <f t="shared" si="38"/>
        <v>0</v>
      </c>
      <c r="R105" s="183">
        <f t="shared" si="38"/>
        <v>0</v>
      </c>
      <c r="S105" s="24">
        <f t="shared" si="38"/>
        <v>0</v>
      </c>
      <c r="T105" s="254"/>
    </row>
    <row r="106" spans="1:20" s="7" customFormat="1" ht="54.75" customHeight="1" hidden="1">
      <c r="A106" s="15"/>
      <c r="B106" s="12"/>
      <c r="C106" s="28">
        <v>2020</v>
      </c>
      <c r="D106" s="29" t="s">
        <v>272</v>
      </c>
      <c r="E106" s="146"/>
      <c r="F106" s="146"/>
      <c r="G106" s="255"/>
      <c r="H106" s="146"/>
      <c r="I106" s="143"/>
      <c r="J106" s="143"/>
      <c r="K106" s="143"/>
      <c r="L106" s="143"/>
      <c r="M106" s="143"/>
      <c r="N106" s="143"/>
      <c r="O106" s="143"/>
      <c r="P106" s="143"/>
      <c r="Q106" s="252">
        <f>H106+I106+J106+K106+L106+M106+N106</f>
        <v>0</v>
      </c>
      <c r="R106" s="143"/>
      <c r="S106" s="19">
        <f>J106+K106+L106+M106+N106+O106+P106</f>
        <v>0</v>
      </c>
      <c r="T106" s="253"/>
    </row>
    <row r="107" spans="1:20" s="144" customFormat="1" ht="15.75">
      <c r="A107" s="266"/>
      <c r="B107" s="267"/>
      <c r="C107" s="267"/>
      <c r="D107" s="266" t="s">
        <v>69</v>
      </c>
      <c r="E107" s="268" t="e">
        <f>#REF!+#REF!+E14+#REF!+#REF!+#REF!+E22+E53+E65+E83+#REF!+E104+E101+E6</f>
        <v>#REF!</v>
      </c>
      <c r="F107" s="268" t="e">
        <f>#REF!+#REF!+F14+#REF!+#REF!+#REF!+F22+F53+F65+F83+#REF!+F104+F101+F6</f>
        <v>#REF!</v>
      </c>
      <c r="G107" s="269" t="e">
        <f>#REF!+#REF!+G14+#REF!+#REF!+#REF!+G22+G53+G65+G83+#REF!+G104+G101+G6</f>
        <v>#REF!</v>
      </c>
      <c r="H107" s="268" t="e">
        <f>#REF!+#REF!+H14+#REF!+#REF!+#REF!+H22+H53+H65+H83+#REF!+H104+H101+H6</f>
        <v>#REF!</v>
      </c>
      <c r="I107" s="270" t="e">
        <f>#REF!+#REF!+I14+#REF!+#REF!+#REF!+I22+I53+I65+I83+#REF!+I104+I101+I6</f>
        <v>#REF!</v>
      </c>
      <c r="J107" s="270" t="e">
        <f>#REF!+#REF!+J14+#REF!+#REF!+#REF!+J22+J53+J65+J83+#REF!+J104+J101+J6</f>
        <v>#REF!</v>
      </c>
      <c r="K107" s="270" t="e">
        <f>#REF!+#REF!+K14+#REF!+#REF!+#REF!+K22+K53+K65+K83+#REF!+K104+K101+K6</f>
        <v>#REF!</v>
      </c>
      <c r="L107" s="270" t="e">
        <f>#REF!+#REF!+L14+#REF!+#REF!+#REF!+L22+L53+L65+L83+#REF!+L104+L101+L6</f>
        <v>#REF!</v>
      </c>
      <c r="M107" s="270" t="e">
        <f>#REF!+#REF!+M14+#REF!+#REF!+#REF!+M22+M53+M65+M83+#REF!+M104+M101+M6</f>
        <v>#REF!</v>
      </c>
      <c r="N107" s="270" t="e">
        <f>#REF!+#REF!+N14+#REF!+#REF!+#REF!+N22+N53+N65+N83+#REF!+N104+N101+N6</f>
        <v>#REF!</v>
      </c>
      <c r="O107" s="269" t="e">
        <f>#REF!+#REF!+O14+#REF!+#REF!+#REF!+O22+O53+O65+O83+#REF!+O104+O101+O6</f>
        <v>#REF!</v>
      </c>
      <c r="P107" s="270"/>
      <c r="Q107" s="270"/>
      <c r="R107" s="270">
        <f>R6+R14+R22+R53+R65+R83+R101</f>
        <v>449701</v>
      </c>
      <c r="S107" s="270"/>
      <c r="T107" s="256"/>
    </row>
    <row r="108" spans="5:20" s="7" customFormat="1" ht="12.75">
      <c r="E108" s="214"/>
      <c r="F108" s="214"/>
      <c r="G108" s="271"/>
      <c r="H108" s="214"/>
      <c r="I108" s="214"/>
      <c r="J108" s="272"/>
      <c r="K108" s="272"/>
      <c r="L108" s="272"/>
      <c r="M108" s="272"/>
      <c r="N108" s="272"/>
      <c r="O108" s="272"/>
      <c r="P108" s="272"/>
      <c r="Q108" s="156"/>
      <c r="R108" s="272"/>
      <c r="S108" s="156"/>
      <c r="T108" s="273"/>
    </row>
    <row r="109" spans="5:20" s="7" customFormat="1" ht="12.75">
      <c r="E109" s="216"/>
      <c r="F109" s="216"/>
      <c r="G109" s="274"/>
      <c r="H109" s="216"/>
      <c r="I109" s="216"/>
      <c r="J109" s="275"/>
      <c r="K109" s="275"/>
      <c r="L109" s="275"/>
      <c r="M109" s="275"/>
      <c r="N109" s="275"/>
      <c r="O109" s="275"/>
      <c r="P109" s="275"/>
      <c r="Q109" s="276"/>
      <c r="R109" s="275"/>
      <c r="S109" s="276"/>
      <c r="T109" s="277"/>
    </row>
    <row r="110" spans="5:20" s="7" customFormat="1" ht="12.75">
      <c r="E110" s="278"/>
      <c r="F110" s="278"/>
      <c r="G110" s="279"/>
      <c r="H110" s="278"/>
      <c r="I110" s="278"/>
      <c r="J110" s="280"/>
      <c r="K110" s="280"/>
      <c r="L110" s="280"/>
      <c r="M110" s="280"/>
      <c r="N110" s="280"/>
      <c r="O110" s="280"/>
      <c r="P110" s="280"/>
      <c r="Q110" s="281"/>
      <c r="R110" s="280"/>
      <c r="S110" s="278"/>
      <c r="T110" s="282"/>
    </row>
    <row r="111" spans="4:20" s="7" customFormat="1" ht="12.75">
      <c r="D111" s="258"/>
      <c r="E111" s="216"/>
      <c r="F111" s="216"/>
      <c r="G111" s="274"/>
      <c r="H111" s="216"/>
      <c r="I111" s="216"/>
      <c r="J111" s="275"/>
      <c r="K111" s="275"/>
      <c r="L111" s="275"/>
      <c r="M111" s="275"/>
      <c r="N111" s="275"/>
      <c r="O111" s="275"/>
      <c r="P111" s="275"/>
      <c r="Q111" s="283"/>
      <c r="R111" s="275"/>
      <c r="S111" s="216"/>
      <c r="T111" s="284"/>
    </row>
    <row r="112" spans="4:20" s="7" customFormat="1" ht="12.75">
      <c r="D112" s="258"/>
      <c r="E112" s="216"/>
      <c r="F112" s="216"/>
      <c r="G112" s="274"/>
      <c r="H112" s="216"/>
      <c r="I112" s="216"/>
      <c r="J112" s="275"/>
      <c r="K112" s="275"/>
      <c r="L112" s="275"/>
      <c r="M112" s="275"/>
      <c r="N112" s="275"/>
      <c r="O112" s="275"/>
      <c r="P112" s="275"/>
      <c r="Q112" s="276"/>
      <c r="R112" s="275"/>
      <c r="S112" s="276"/>
      <c r="T112" s="277"/>
    </row>
    <row r="113" spans="5:20" ht="12.75">
      <c r="E113" s="285"/>
      <c r="F113" s="285"/>
      <c r="G113" s="286"/>
      <c r="H113" s="285"/>
      <c r="I113" s="285"/>
      <c r="J113" s="287"/>
      <c r="K113" s="287"/>
      <c r="L113" s="287"/>
      <c r="M113" s="287"/>
      <c r="N113" s="287"/>
      <c r="O113" s="287"/>
      <c r="P113" s="287"/>
      <c r="Q113" s="63"/>
      <c r="R113" s="287"/>
      <c r="S113" s="63"/>
      <c r="T113" s="288"/>
    </row>
    <row r="114" ht="12.75">
      <c r="S114" s="3"/>
    </row>
    <row r="115" spans="5:19" ht="12.75">
      <c r="E115" s="285" t="e">
        <f>E107-F107</f>
        <v>#REF!</v>
      </c>
      <c r="F115" s="285" t="e">
        <f>F107-G107</f>
        <v>#REF!</v>
      </c>
      <c r="G115" s="286" t="e">
        <f>G107-#REF!</f>
        <v>#REF!</v>
      </c>
      <c r="H115" s="285" t="e">
        <f>H107-I107</f>
        <v>#REF!</v>
      </c>
      <c r="I115" s="285"/>
      <c r="J115" s="287"/>
      <c r="K115" s="287"/>
      <c r="L115" s="287"/>
      <c r="M115" s="287"/>
      <c r="N115" s="287"/>
      <c r="O115" s="287"/>
      <c r="P115" s="287"/>
      <c r="R115" s="287"/>
      <c r="S115" s="3"/>
    </row>
    <row r="116" ht="12.75">
      <c r="S116" s="3"/>
    </row>
    <row r="117" ht="12.75">
      <c r="S117" s="3"/>
    </row>
    <row r="118" ht="12.75">
      <c r="S118" s="3"/>
    </row>
    <row r="119" ht="12.75">
      <c r="S119" s="3"/>
    </row>
    <row r="120" ht="12.75">
      <c r="S120" s="3"/>
    </row>
    <row r="121" ht="12.75">
      <c r="S121" s="3"/>
    </row>
    <row r="122" ht="12.75">
      <c r="S122" s="3"/>
    </row>
    <row r="123" ht="12.75">
      <c r="S123" s="3"/>
    </row>
    <row r="124" ht="12.75">
      <c r="S124" s="3"/>
    </row>
    <row r="125" ht="12.75">
      <c r="S125" s="3"/>
    </row>
    <row r="126" ht="12.75">
      <c r="S126" s="3"/>
    </row>
    <row r="127" ht="12.75">
      <c r="S127" s="3"/>
    </row>
    <row r="128" ht="12.75">
      <c r="S128" s="3"/>
    </row>
    <row r="129" ht="12.75">
      <c r="S129" s="3"/>
    </row>
    <row r="130" ht="12.75">
      <c r="S130" s="3"/>
    </row>
    <row r="131" ht="12.75">
      <c r="S131" s="3"/>
    </row>
    <row r="132" ht="12.75">
      <c r="S132" s="3"/>
    </row>
    <row r="133" ht="12.75">
      <c r="S133" s="3"/>
    </row>
    <row r="134" ht="12.75">
      <c r="S134" s="3"/>
    </row>
    <row r="135" ht="12.75">
      <c r="S135" s="3"/>
    </row>
    <row r="136" ht="12.75">
      <c r="S136" s="3"/>
    </row>
    <row r="137" ht="12.75">
      <c r="S137" s="3"/>
    </row>
    <row r="138" ht="12.75">
      <c r="S138" s="3"/>
    </row>
    <row r="139" ht="12.75">
      <c r="S139" s="3"/>
    </row>
    <row r="140" ht="12.75">
      <c r="S140" s="3"/>
    </row>
    <row r="141" ht="12.75">
      <c r="S141" s="3"/>
    </row>
    <row r="142" ht="12.75">
      <c r="S142" s="3"/>
    </row>
    <row r="143" ht="12.75">
      <c r="S143" s="3"/>
    </row>
    <row r="144" ht="12.75">
      <c r="S144" s="3"/>
    </row>
    <row r="145" ht="12.75">
      <c r="S145" s="3"/>
    </row>
    <row r="146" ht="12.75">
      <c r="S146" s="3"/>
    </row>
    <row r="147" ht="12.75">
      <c r="S147" s="3"/>
    </row>
    <row r="148" ht="12.75">
      <c r="S148" s="3"/>
    </row>
    <row r="149" ht="12.75">
      <c r="S149" s="3"/>
    </row>
    <row r="150" ht="12.75">
      <c r="S150" s="3"/>
    </row>
    <row r="151" ht="12.75">
      <c r="S151" s="3"/>
    </row>
    <row r="152" ht="12.75">
      <c r="S152" s="3"/>
    </row>
    <row r="153" ht="12.75">
      <c r="S153" s="3"/>
    </row>
    <row r="154" ht="12.75">
      <c r="S154" s="3"/>
    </row>
    <row r="155" ht="12.75">
      <c r="S155" s="3"/>
    </row>
    <row r="156" ht="12.75">
      <c r="S156" s="3"/>
    </row>
    <row r="157" ht="12.75">
      <c r="S157" s="3"/>
    </row>
    <row r="158" ht="12.75">
      <c r="S158" s="3"/>
    </row>
    <row r="159" ht="12.75">
      <c r="S159" s="3"/>
    </row>
    <row r="160" ht="12.75">
      <c r="S160" s="3"/>
    </row>
    <row r="161" ht="12.75">
      <c r="S161" s="3"/>
    </row>
    <row r="162" ht="12.75">
      <c r="S162" s="3"/>
    </row>
    <row r="163" ht="12.75">
      <c r="S163" s="3"/>
    </row>
    <row r="164" ht="12.75">
      <c r="S164" s="3"/>
    </row>
    <row r="165" ht="12.75">
      <c r="S165" s="3"/>
    </row>
    <row r="166" ht="12.75">
      <c r="S166" s="3"/>
    </row>
    <row r="167" ht="12.75">
      <c r="S167" s="3"/>
    </row>
    <row r="168" ht="12.75">
      <c r="S168" s="3"/>
    </row>
    <row r="169" ht="12.75">
      <c r="S169" s="3"/>
    </row>
    <row r="170" ht="12.75">
      <c r="S170" s="3"/>
    </row>
    <row r="171" ht="12.75">
      <c r="S171" s="3"/>
    </row>
    <row r="172" ht="12.75">
      <c r="S172" s="3"/>
    </row>
    <row r="173" ht="12.75">
      <c r="S173" s="3"/>
    </row>
    <row r="174" ht="12.75">
      <c r="S174" s="3"/>
    </row>
    <row r="175" ht="12.75">
      <c r="S175" s="3"/>
    </row>
    <row r="176" ht="12.75">
      <c r="S176" s="3"/>
    </row>
    <row r="177" ht="12.75">
      <c r="S177" s="3"/>
    </row>
    <row r="178" ht="12.75">
      <c r="S178" s="3"/>
    </row>
    <row r="179" ht="12.75">
      <c r="S179" s="3"/>
    </row>
    <row r="180" ht="12.75">
      <c r="S180" s="3"/>
    </row>
    <row r="181" ht="12.75">
      <c r="S181" s="3"/>
    </row>
    <row r="182" ht="12.75">
      <c r="S182" s="3"/>
    </row>
    <row r="183" ht="12.75">
      <c r="S183" s="3"/>
    </row>
    <row r="184" ht="12.75">
      <c r="S184" s="3"/>
    </row>
    <row r="185" ht="12.75">
      <c r="S185" s="3"/>
    </row>
    <row r="186" ht="12.75">
      <c r="S186" s="3"/>
    </row>
    <row r="187" ht="12.75">
      <c r="S187" s="3"/>
    </row>
    <row r="188" ht="12.75">
      <c r="S188" s="3"/>
    </row>
    <row r="189" ht="12.75">
      <c r="S189" s="3"/>
    </row>
    <row r="190" ht="12.75">
      <c r="S190" s="3"/>
    </row>
    <row r="191" ht="12.75">
      <c r="S191" s="3"/>
    </row>
    <row r="192" ht="12.75">
      <c r="S192" s="3"/>
    </row>
    <row r="193" ht="12.75">
      <c r="S193" s="3"/>
    </row>
    <row r="194" ht="12.75">
      <c r="S194" s="3"/>
    </row>
    <row r="195" ht="12.75">
      <c r="S195" s="3"/>
    </row>
    <row r="196" ht="12.75">
      <c r="S196" s="3"/>
    </row>
    <row r="197" ht="12.75">
      <c r="S197" s="3"/>
    </row>
    <row r="198" ht="12.75">
      <c r="S198" s="3"/>
    </row>
    <row r="199" ht="12.75">
      <c r="S199" s="3"/>
    </row>
    <row r="200" ht="12.75">
      <c r="S200" s="3"/>
    </row>
    <row r="201" ht="12.75">
      <c r="S201" s="3"/>
    </row>
    <row r="202" ht="12.75">
      <c r="S202" s="3"/>
    </row>
    <row r="203" ht="12.75">
      <c r="S203" s="3"/>
    </row>
    <row r="204" ht="12.75">
      <c r="S204" s="3"/>
    </row>
    <row r="205" ht="12.75">
      <c r="S205" s="3"/>
    </row>
    <row r="206" ht="12.75">
      <c r="S206" s="3"/>
    </row>
    <row r="207" ht="12.75">
      <c r="S207" s="3"/>
    </row>
    <row r="208" ht="12.75">
      <c r="S208" s="3"/>
    </row>
    <row r="209" ht="12.75">
      <c r="S209" s="3"/>
    </row>
    <row r="210" ht="12.75">
      <c r="S210" s="3"/>
    </row>
    <row r="211" ht="12.75">
      <c r="S211" s="3"/>
    </row>
    <row r="212" ht="12.75">
      <c r="S212" s="3"/>
    </row>
    <row r="213" ht="12.75">
      <c r="S213" s="3"/>
    </row>
    <row r="214" ht="12.75">
      <c r="S214" s="3"/>
    </row>
    <row r="215" ht="12.75">
      <c r="S215" s="3"/>
    </row>
    <row r="216" ht="12.75">
      <c r="S216" s="3"/>
    </row>
    <row r="217" ht="12.75">
      <c r="S217" s="3"/>
    </row>
    <row r="218" ht="12.75">
      <c r="S218" s="3"/>
    </row>
    <row r="219" ht="12.75">
      <c r="S219" s="3"/>
    </row>
    <row r="220" ht="12.75">
      <c r="S220" s="3"/>
    </row>
    <row r="221" ht="12.75">
      <c r="S221" s="3"/>
    </row>
    <row r="222" ht="12.75">
      <c r="S222" s="3"/>
    </row>
    <row r="223" ht="12.75">
      <c r="S223" s="3"/>
    </row>
    <row r="224" ht="12.75">
      <c r="S224" s="3"/>
    </row>
    <row r="225" ht="12.75">
      <c r="S225" s="3"/>
    </row>
    <row r="226" ht="12.75">
      <c r="S226" s="3"/>
    </row>
    <row r="227" ht="12.75">
      <c r="S227" s="3"/>
    </row>
    <row r="228" ht="12.75">
      <c r="S228" s="3"/>
    </row>
    <row r="229" ht="12.75">
      <c r="S229" s="3"/>
    </row>
    <row r="230" ht="12.75">
      <c r="S230" s="3"/>
    </row>
    <row r="231" ht="12.75">
      <c r="S231" s="3"/>
    </row>
    <row r="232" ht="12.75">
      <c r="S232" s="3"/>
    </row>
    <row r="233" ht="12.75">
      <c r="S233" s="3"/>
    </row>
    <row r="234" ht="12.75">
      <c r="S234" s="3"/>
    </row>
    <row r="235" ht="12.75">
      <c r="S235" s="3"/>
    </row>
    <row r="236" ht="12.75">
      <c r="S236" s="3"/>
    </row>
    <row r="237" ht="12.75">
      <c r="S237" s="3"/>
    </row>
    <row r="238" ht="12.75">
      <c r="S238" s="3"/>
    </row>
    <row r="239" ht="12.75">
      <c r="S239" s="3"/>
    </row>
    <row r="240" ht="12.75">
      <c r="S240" s="3"/>
    </row>
    <row r="241" ht="12.75">
      <c r="S241" s="3"/>
    </row>
    <row r="242" ht="12.75">
      <c r="S242" s="3"/>
    </row>
    <row r="243" ht="12.75">
      <c r="S243" s="3"/>
    </row>
    <row r="244" ht="12.75">
      <c r="S244" s="3"/>
    </row>
    <row r="245" ht="12.75">
      <c r="S245" s="3"/>
    </row>
    <row r="246" ht="12.75">
      <c r="S246" s="3"/>
    </row>
    <row r="247" ht="12.75">
      <c r="S247" s="3"/>
    </row>
    <row r="248" ht="12.75">
      <c r="S248" s="3"/>
    </row>
    <row r="249" ht="12.75">
      <c r="S249" s="3"/>
    </row>
    <row r="250" ht="12.75">
      <c r="S250" s="3"/>
    </row>
    <row r="251" ht="12.75">
      <c r="S251" s="3"/>
    </row>
    <row r="252" ht="12.75">
      <c r="S252" s="3"/>
    </row>
    <row r="253" ht="12.75">
      <c r="S253" s="3"/>
    </row>
    <row r="254" ht="12.75">
      <c r="S254" s="3"/>
    </row>
    <row r="255" ht="12.75">
      <c r="S255" s="3"/>
    </row>
    <row r="256" ht="12.75">
      <c r="S256" s="3"/>
    </row>
    <row r="257" ht="12.75">
      <c r="S257" s="3"/>
    </row>
    <row r="258" ht="12.75">
      <c r="S258" s="3"/>
    </row>
    <row r="259" ht="12.75">
      <c r="S259" s="3"/>
    </row>
    <row r="260" ht="12.75">
      <c r="S260" s="3"/>
    </row>
    <row r="261" ht="12.75">
      <c r="S261" s="3"/>
    </row>
    <row r="262" ht="12.75">
      <c r="S262" s="3"/>
    </row>
    <row r="263" ht="12.75">
      <c r="S263" s="3"/>
    </row>
    <row r="264" ht="12.75">
      <c r="S264" s="3"/>
    </row>
    <row r="265" ht="12.75">
      <c r="S265" s="3"/>
    </row>
    <row r="266" ht="12.75">
      <c r="S266" s="3"/>
    </row>
    <row r="267" ht="12.75">
      <c r="S267" s="3"/>
    </row>
    <row r="268" ht="12.75">
      <c r="S268" s="3"/>
    </row>
    <row r="269" ht="12.75">
      <c r="S269" s="3"/>
    </row>
    <row r="270" ht="12.75">
      <c r="S270" s="3"/>
    </row>
    <row r="271" ht="12.75">
      <c r="S271" s="3"/>
    </row>
    <row r="272" ht="12.75">
      <c r="S272" s="3"/>
    </row>
    <row r="273" ht="12.75">
      <c r="S273" s="3"/>
    </row>
    <row r="274" ht="12.75">
      <c r="S274" s="3"/>
    </row>
    <row r="275" ht="12.75">
      <c r="S275" s="3"/>
    </row>
    <row r="276" ht="12.75">
      <c r="S276" s="3"/>
    </row>
    <row r="277" ht="12.75">
      <c r="S277" s="3"/>
    </row>
    <row r="278" ht="12.75">
      <c r="S278" s="3"/>
    </row>
    <row r="279" ht="12.75">
      <c r="S279" s="3"/>
    </row>
    <row r="280" ht="12.75">
      <c r="S280" s="3"/>
    </row>
    <row r="281" ht="12.75">
      <c r="S281" s="3"/>
    </row>
    <row r="282" ht="12.75">
      <c r="S282" s="3"/>
    </row>
    <row r="283" ht="12.75">
      <c r="S283" s="3"/>
    </row>
    <row r="284" ht="12.75">
      <c r="S284" s="3"/>
    </row>
    <row r="285" ht="12.75">
      <c r="S285" s="3"/>
    </row>
    <row r="286" ht="12.75">
      <c r="S286" s="3"/>
    </row>
    <row r="287" ht="12.75">
      <c r="S287" s="3"/>
    </row>
    <row r="288" ht="12.75">
      <c r="S288" s="3"/>
    </row>
    <row r="289" ht="12.75">
      <c r="S289" s="3"/>
    </row>
    <row r="290" ht="12.75">
      <c r="S290" s="3"/>
    </row>
    <row r="291" ht="12.75">
      <c r="S291" s="3"/>
    </row>
    <row r="292" ht="12.75">
      <c r="S292" s="3"/>
    </row>
    <row r="293" ht="12.75">
      <c r="S293" s="3"/>
    </row>
    <row r="294" ht="12.75">
      <c r="S294" s="3"/>
    </row>
    <row r="295" ht="12.75">
      <c r="S295" s="3"/>
    </row>
    <row r="296" ht="12.75">
      <c r="S296" s="3"/>
    </row>
    <row r="297" ht="12.75">
      <c r="S297" s="3"/>
    </row>
    <row r="298" ht="12.75">
      <c r="S298" s="3"/>
    </row>
    <row r="299" ht="12.75">
      <c r="S299" s="3"/>
    </row>
    <row r="300" ht="12.75">
      <c r="S300" s="3"/>
    </row>
    <row r="301" ht="12.75">
      <c r="S301" s="3"/>
    </row>
    <row r="302" ht="12.75">
      <c r="S302" s="3"/>
    </row>
    <row r="303" ht="12.75">
      <c r="S303" s="3"/>
    </row>
    <row r="304" ht="12.75">
      <c r="S304" s="3"/>
    </row>
    <row r="305" ht="12.75">
      <c r="S305" s="3"/>
    </row>
    <row r="306" ht="12.75">
      <c r="S306" s="3"/>
    </row>
    <row r="307" ht="12.75">
      <c r="S307" s="3"/>
    </row>
    <row r="308" ht="12.75">
      <c r="S308" s="3"/>
    </row>
    <row r="309" ht="12.75">
      <c r="S309" s="3"/>
    </row>
    <row r="310" ht="12.75">
      <c r="S310" s="3"/>
    </row>
    <row r="311" ht="12.75">
      <c r="S311" s="3"/>
    </row>
    <row r="312" ht="12.75">
      <c r="S312" s="3"/>
    </row>
    <row r="313" ht="12.75">
      <c r="S313" s="3"/>
    </row>
    <row r="314" ht="12.75">
      <c r="S314" s="3"/>
    </row>
    <row r="315" ht="12.75">
      <c r="S315" s="3"/>
    </row>
    <row r="316" ht="12.75">
      <c r="S316" s="3"/>
    </row>
    <row r="317" ht="12.75">
      <c r="S317" s="3"/>
    </row>
    <row r="318" ht="12.75">
      <c r="S318" s="3"/>
    </row>
    <row r="319" ht="12.75">
      <c r="S319" s="3"/>
    </row>
    <row r="320" ht="12.75">
      <c r="S320" s="3"/>
    </row>
    <row r="321" ht="12.75">
      <c r="S321" s="3"/>
    </row>
    <row r="322" ht="12.75">
      <c r="S322" s="3"/>
    </row>
    <row r="323" ht="12.75">
      <c r="S323" s="3"/>
    </row>
    <row r="324" ht="12.75">
      <c r="S324" s="3"/>
    </row>
    <row r="325" ht="12.75">
      <c r="S325" s="3"/>
    </row>
    <row r="326" ht="12.75">
      <c r="S326" s="3"/>
    </row>
    <row r="327" ht="12.75">
      <c r="S327" s="3"/>
    </row>
    <row r="328" ht="12.75">
      <c r="S328" s="3"/>
    </row>
    <row r="329" ht="12.75">
      <c r="S329" s="3"/>
    </row>
    <row r="330" ht="12.75">
      <c r="S330" s="3"/>
    </row>
    <row r="331" ht="12.75">
      <c r="S331" s="3"/>
    </row>
    <row r="332" ht="12.75">
      <c r="S332" s="3"/>
    </row>
    <row r="333" ht="12.75">
      <c r="S333" s="3"/>
    </row>
    <row r="334" ht="12.75">
      <c r="S334" s="3"/>
    </row>
    <row r="335" ht="12.75">
      <c r="S335" s="3"/>
    </row>
    <row r="336" ht="12.75">
      <c r="S336" s="3"/>
    </row>
    <row r="337" ht="12.75">
      <c r="S337" s="3"/>
    </row>
    <row r="338" ht="12.75">
      <c r="S338" s="3"/>
    </row>
    <row r="339" ht="12.75">
      <c r="S339" s="3"/>
    </row>
    <row r="340" ht="12.75">
      <c r="S340" s="3"/>
    </row>
    <row r="341" ht="12.75">
      <c r="S341" s="3"/>
    </row>
    <row r="342" ht="12.75">
      <c r="S342" s="3"/>
    </row>
    <row r="343" ht="12.75">
      <c r="S343" s="3"/>
    </row>
    <row r="344" ht="12.75">
      <c r="S344" s="3"/>
    </row>
    <row r="345" ht="12.75">
      <c r="S345" s="3"/>
    </row>
    <row r="346" ht="12.75">
      <c r="S346" s="3"/>
    </row>
    <row r="347" ht="12.75">
      <c r="S347" s="3"/>
    </row>
    <row r="348" ht="12.75">
      <c r="S348" s="3"/>
    </row>
    <row r="349" ht="12.75">
      <c r="S349" s="3"/>
    </row>
    <row r="350" ht="12.75">
      <c r="S350" s="3"/>
    </row>
    <row r="351" ht="12.75">
      <c r="S351" s="3"/>
    </row>
    <row r="352" ht="12.75">
      <c r="S352" s="3"/>
    </row>
    <row r="353" ht="12.75">
      <c r="S353" s="3"/>
    </row>
    <row r="354" ht="12.75">
      <c r="S354" s="3"/>
    </row>
    <row r="355" ht="12.75">
      <c r="S355" s="3"/>
    </row>
    <row r="356" ht="12.75">
      <c r="S356" s="3"/>
    </row>
    <row r="357" ht="12.75">
      <c r="S357" s="3"/>
    </row>
    <row r="358" ht="12.75">
      <c r="S358" s="3"/>
    </row>
    <row r="359" ht="12.75">
      <c r="S359" s="3"/>
    </row>
    <row r="360" ht="12.75">
      <c r="S360" s="3"/>
    </row>
    <row r="361" ht="12.75">
      <c r="S361" s="3"/>
    </row>
    <row r="362" ht="12.75">
      <c r="S362" s="3"/>
    </row>
    <row r="363" ht="12.75">
      <c r="S363" s="3"/>
    </row>
    <row r="364" ht="12.75">
      <c r="S364" s="3"/>
    </row>
    <row r="365" ht="12.75">
      <c r="S365" s="3"/>
    </row>
    <row r="366" ht="12.75">
      <c r="S366" s="3"/>
    </row>
    <row r="367" ht="12.75">
      <c r="S367" s="3"/>
    </row>
    <row r="368" ht="12.75">
      <c r="S368" s="3"/>
    </row>
    <row r="369" ht="12.75">
      <c r="S369" s="3"/>
    </row>
    <row r="370" ht="12.75">
      <c r="S370" s="3"/>
    </row>
    <row r="371" ht="12.75">
      <c r="S371" s="3"/>
    </row>
    <row r="372" ht="12.75">
      <c r="S372" s="3"/>
    </row>
    <row r="373" ht="12.75">
      <c r="S373" s="3"/>
    </row>
    <row r="374" ht="12.75">
      <c r="S374" s="3"/>
    </row>
    <row r="375" ht="12.75">
      <c r="S375" s="3"/>
    </row>
    <row r="376" ht="12.75">
      <c r="S376" s="3"/>
    </row>
    <row r="377" ht="12.75">
      <c r="S377" s="3"/>
    </row>
    <row r="378" ht="12.75">
      <c r="S378" s="3"/>
    </row>
    <row r="379" ht="12.75">
      <c r="S379" s="3"/>
    </row>
    <row r="380" ht="12.75">
      <c r="S380" s="3"/>
    </row>
    <row r="381" ht="12.75">
      <c r="S381" s="3"/>
    </row>
    <row r="382" ht="12.75">
      <c r="S382" s="3"/>
    </row>
    <row r="383" ht="12.75">
      <c r="S383" s="3"/>
    </row>
    <row r="384" ht="12.75">
      <c r="S384" s="3"/>
    </row>
    <row r="385" ht="12.75">
      <c r="S385" s="3"/>
    </row>
    <row r="386" ht="12.75">
      <c r="S386" s="3"/>
    </row>
    <row r="387" ht="12.75">
      <c r="S387" s="3"/>
    </row>
    <row r="388" ht="12.75">
      <c r="S388" s="3"/>
    </row>
    <row r="389" ht="12.75">
      <c r="S389" s="3"/>
    </row>
    <row r="390" ht="12.75">
      <c r="S390" s="3"/>
    </row>
    <row r="391" ht="12.75">
      <c r="S391" s="3"/>
    </row>
    <row r="392" ht="12.75">
      <c r="S392" s="3"/>
    </row>
    <row r="393" ht="12.75">
      <c r="S393" s="3"/>
    </row>
    <row r="394" ht="12.75">
      <c r="S394" s="3"/>
    </row>
    <row r="395" ht="12.75">
      <c r="S395" s="3"/>
    </row>
    <row r="396" ht="12.75">
      <c r="S396" s="3"/>
    </row>
    <row r="397" ht="12.75">
      <c r="S397" s="3"/>
    </row>
    <row r="398" ht="12.75">
      <c r="S398" s="3"/>
    </row>
    <row r="399" ht="12.75">
      <c r="S399" s="3"/>
    </row>
    <row r="400" ht="12.75">
      <c r="S400" s="3"/>
    </row>
    <row r="401" ht="12.75">
      <c r="S401" s="3"/>
    </row>
    <row r="402" ht="12.75">
      <c r="S402" s="3"/>
    </row>
    <row r="403" ht="12.75">
      <c r="S403" s="3"/>
    </row>
    <row r="404" ht="12.75">
      <c r="S404" s="3"/>
    </row>
    <row r="405" ht="12.75">
      <c r="S405" s="3"/>
    </row>
    <row r="406" ht="12.75">
      <c r="S406" s="3"/>
    </row>
    <row r="407" ht="12.75">
      <c r="S407" s="3"/>
    </row>
    <row r="408" ht="12.75">
      <c r="S408" s="3"/>
    </row>
    <row r="409" ht="12.75">
      <c r="S409" s="3"/>
    </row>
    <row r="410" ht="12.75">
      <c r="S410" s="3"/>
    </row>
    <row r="411" ht="12.75">
      <c r="S411" s="3"/>
    </row>
    <row r="412" ht="12.75">
      <c r="S412" s="3"/>
    </row>
    <row r="413" ht="12.75">
      <c r="S413" s="3"/>
    </row>
    <row r="414" ht="12.75">
      <c r="S414" s="3"/>
    </row>
    <row r="415" ht="12.75">
      <c r="S415" s="3"/>
    </row>
    <row r="416" ht="12.75">
      <c r="S416" s="3"/>
    </row>
    <row r="417" ht="12.75">
      <c r="S417" s="3"/>
    </row>
    <row r="418" ht="12.75">
      <c r="S418" s="3"/>
    </row>
    <row r="419" ht="12.75">
      <c r="S419" s="3"/>
    </row>
    <row r="420" ht="12.75">
      <c r="S420" s="3"/>
    </row>
    <row r="421" ht="12.75">
      <c r="S421" s="3"/>
    </row>
    <row r="422" ht="12.75">
      <c r="S422" s="3"/>
    </row>
    <row r="423" ht="12.75">
      <c r="S423" s="3"/>
    </row>
    <row r="424" ht="12.75">
      <c r="S424" s="3"/>
    </row>
    <row r="425" ht="12.75">
      <c r="S425" s="3"/>
    </row>
    <row r="426" ht="12.75">
      <c r="S426" s="3"/>
    </row>
    <row r="427" ht="12.75">
      <c r="S427" s="3"/>
    </row>
    <row r="428" ht="12.75">
      <c r="S428" s="3"/>
    </row>
    <row r="429" ht="12.75">
      <c r="S429" s="3"/>
    </row>
    <row r="430" ht="12.75">
      <c r="S430" s="3"/>
    </row>
    <row r="431" ht="12.75">
      <c r="S431" s="3"/>
    </row>
    <row r="432" ht="12.75">
      <c r="S432" s="3"/>
    </row>
    <row r="433" ht="12.75">
      <c r="S433" s="3"/>
    </row>
    <row r="434" ht="12.75">
      <c r="S434" s="3"/>
    </row>
    <row r="435" ht="12.75">
      <c r="S435" s="3"/>
    </row>
    <row r="436" ht="12.75">
      <c r="S436" s="3"/>
    </row>
    <row r="437" ht="12.75">
      <c r="S437" s="3"/>
    </row>
    <row r="438" ht="12.75">
      <c r="S438" s="3"/>
    </row>
    <row r="439" ht="12.75">
      <c r="S439" s="3"/>
    </row>
    <row r="440" ht="12.75">
      <c r="S440" s="3"/>
    </row>
    <row r="441" ht="12.75">
      <c r="S441" s="3"/>
    </row>
    <row r="442" ht="12.75">
      <c r="S442" s="3"/>
    </row>
    <row r="443" ht="12.75">
      <c r="S443" s="3"/>
    </row>
    <row r="444" ht="12.75">
      <c r="S444" s="3"/>
    </row>
    <row r="445" ht="12.75">
      <c r="S445" s="3"/>
    </row>
    <row r="446" ht="12.75">
      <c r="S446" s="3"/>
    </row>
    <row r="447" ht="12.75">
      <c r="S447" s="3"/>
    </row>
    <row r="448" ht="12.75">
      <c r="S448" s="3"/>
    </row>
    <row r="449" ht="12.75">
      <c r="S449" s="3"/>
    </row>
    <row r="450" ht="12.75">
      <c r="S450" s="3"/>
    </row>
    <row r="451" ht="12.75">
      <c r="S451" s="3"/>
    </row>
    <row r="452" ht="12.75">
      <c r="S452" s="3"/>
    </row>
    <row r="453" ht="12.75">
      <c r="S453" s="3"/>
    </row>
    <row r="454" ht="12.75">
      <c r="S454" s="3"/>
    </row>
    <row r="455" ht="12.75">
      <c r="S455" s="3"/>
    </row>
    <row r="456" ht="12.75">
      <c r="S456" s="3"/>
    </row>
    <row r="457" ht="12.75">
      <c r="S457" s="3"/>
    </row>
    <row r="458" ht="12.75">
      <c r="S458" s="3"/>
    </row>
    <row r="459" ht="12.75">
      <c r="S459" s="3"/>
    </row>
    <row r="460" ht="12.75">
      <c r="S460" s="3"/>
    </row>
    <row r="461" ht="12.75">
      <c r="S461" s="3"/>
    </row>
    <row r="462" ht="12.75">
      <c r="S462" s="3"/>
    </row>
    <row r="463" ht="12.75">
      <c r="S463" s="3"/>
    </row>
    <row r="464" ht="12.75">
      <c r="S464" s="3"/>
    </row>
    <row r="465" ht="12.75">
      <c r="S465" s="3"/>
    </row>
    <row r="466" ht="12.75">
      <c r="S466" s="3"/>
    </row>
    <row r="467" ht="12.75">
      <c r="S467" s="3"/>
    </row>
    <row r="468" ht="12.75">
      <c r="S468" s="3"/>
    </row>
    <row r="469" ht="12.75">
      <c r="S469" s="3"/>
    </row>
    <row r="470" ht="12.75">
      <c r="S470" s="3"/>
    </row>
    <row r="471" ht="12.75">
      <c r="S471" s="3"/>
    </row>
    <row r="472" ht="12.75">
      <c r="S472" s="3"/>
    </row>
    <row r="473" ht="12.75">
      <c r="S473" s="3"/>
    </row>
    <row r="474" ht="12.75">
      <c r="S474" s="3"/>
    </row>
    <row r="475" ht="12.75">
      <c r="S475" s="3"/>
    </row>
    <row r="476" ht="12.75">
      <c r="S476" s="3"/>
    </row>
    <row r="477" ht="12.75">
      <c r="S477" s="3"/>
    </row>
    <row r="478" ht="12.75">
      <c r="S478" s="3"/>
    </row>
    <row r="479" ht="12.75">
      <c r="S479" s="3"/>
    </row>
    <row r="480" ht="12.75">
      <c r="S480" s="3"/>
    </row>
    <row r="481" ht="12.75">
      <c r="S481" s="3"/>
    </row>
    <row r="482" ht="12.75">
      <c r="S482" s="3"/>
    </row>
    <row r="483" ht="12.75">
      <c r="S483" s="3"/>
    </row>
    <row r="484" ht="12.75">
      <c r="S484" s="3"/>
    </row>
    <row r="485" ht="12.75">
      <c r="S485" s="3"/>
    </row>
    <row r="486" ht="12.75">
      <c r="S486" s="3"/>
    </row>
    <row r="487" ht="12.75">
      <c r="S487" s="3"/>
    </row>
    <row r="488" ht="12.75">
      <c r="S488" s="3"/>
    </row>
    <row r="489" ht="12.75">
      <c r="S489" s="3"/>
    </row>
    <row r="490" ht="12.75">
      <c r="S490" s="3"/>
    </row>
    <row r="491" ht="12.75">
      <c r="S491" s="3"/>
    </row>
    <row r="492" ht="12.75">
      <c r="S492" s="3"/>
    </row>
    <row r="493" ht="12.75">
      <c r="S493" s="3"/>
    </row>
    <row r="494" ht="12.75">
      <c r="S494" s="3"/>
    </row>
    <row r="495" ht="12.75">
      <c r="S495" s="3"/>
    </row>
    <row r="496" ht="12.75">
      <c r="S496" s="3"/>
    </row>
    <row r="497" ht="12.75">
      <c r="S497" s="3"/>
    </row>
    <row r="498" ht="12.75">
      <c r="S498" s="3"/>
    </row>
    <row r="499" ht="12.75">
      <c r="S499" s="3"/>
    </row>
    <row r="500" ht="12.75">
      <c r="S500" s="3"/>
    </row>
    <row r="501" ht="12.75">
      <c r="S501" s="3"/>
    </row>
    <row r="502" ht="12.75">
      <c r="S502" s="3"/>
    </row>
    <row r="503" ht="12.75">
      <c r="S503" s="3"/>
    </row>
    <row r="504" ht="12.75">
      <c r="S504" s="3"/>
    </row>
    <row r="505" ht="12.75">
      <c r="S505" s="3"/>
    </row>
    <row r="506" ht="12.75">
      <c r="S506" s="3"/>
    </row>
    <row r="507" ht="12.75">
      <c r="S507" s="3"/>
    </row>
    <row r="508" ht="12.75">
      <c r="S508" s="3"/>
    </row>
    <row r="509" ht="12.75">
      <c r="S509" s="3"/>
    </row>
    <row r="510" ht="12.75">
      <c r="S510" s="3"/>
    </row>
    <row r="511" ht="12.75">
      <c r="S511" s="3"/>
    </row>
    <row r="512" ht="12.75">
      <c r="S512" s="3"/>
    </row>
    <row r="513" ht="12.75">
      <c r="S513" s="3"/>
    </row>
    <row r="514" ht="12.75">
      <c r="S514" s="3"/>
    </row>
    <row r="515" ht="12.75">
      <c r="S515" s="3"/>
    </row>
    <row r="516" ht="12.75">
      <c r="S516" s="3"/>
    </row>
    <row r="517" ht="12.75">
      <c r="S517" s="3"/>
    </row>
    <row r="518" ht="12.75">
      <c r="S518" s="3"/>
    </row>
    <row r="519" ht="12.75">
      <c r="S519" s="3"/>
    </row>
    <row r="520" ht="12.75">
      <c r="S520" s="3"/>
    </row>
    <row r="521" ht="12.75">
      <c r="S521" s="3"/>
    </row>
    <row r="522" ht="12.75">
      <c r="S522" s="3"/>
    </row>
    <row r="523" ht="12.75">
      <c r="S523" s="3"/>
    </row>
    <row r="524" ht="12.75">
      <c r="S524" s="3"/>
    </row>
    <row r="525" ht="12.75">
      <c r="S525" s="3"/>
    </row>
    <row r="526" ht="12.75">
      <c r="S526" s="3"/>
    </row>
    <row r="527" ht="12.75">
      <c r="S527" s="3"/>
    </row>
    <row r="528" ht="12.75">
      <c r="S528" s="3"/>
    </row>
    <row r="529" ht="12.75">
      <c r="S529" s="3"/>
    </row>
    <row r="530" ht="12.75">
      <c r="S530" s="3"/>
    </row>
    <row r="531" ht="12.75">
      <c r="S531" s="3"/>
    </row>
    <row r="532" ht="12.75">
      <c r="S532" s="3"/>
    </row>
    <row r="533" ht="12.75">
      <c r="S533" s="3"/>
    </row>
    <row r="534" ht="12.75">
      <c r="S534" s="3"/>
    </row>
    <row r="535" ht="12.75">
      <c r="S535" s="3"/>
    </row>
    <row r="536" ht="12.75">
      <c r="S536" s="3"/>
    </row>
    <row r="537" ht="12.75">
      <c r="S537" s="3"/>
    </row>
    <row r="538" ht="12.75">
      <c r="S538" s="3"/>
    </row>
    <row r="539" ht="12.75">
      <c r="S539" s="3"/>
    </row>
    <row r="540" ht="12.75">
      <c r="S540" s="3"/>
    </row>
    <row r="541" ht="12.75">
      <c r="S541" s="3"/>
    </row>
    <row r="542" ht="12.75">
      <c r="S542" s="3"/>
    </row>
    <row r="543" ht="12.75">
      <c r="S543" s="3"/>
    </row>
    <row r="544" ht="12.75">
      <c r="S544" s="3"/>
    </row>
    <row r="545" ht="12.75">
      <c r="S545" s="3"/>
    </row>
    <row r="546" ht="12.75">
      <c r="S546" s="3"/>
    </row>
    <row r="547" ht="12.75">
      <c r="S547" s="3"/>
    </row>
    <row r="548" ht="12.75">
      <c r="S548" s="3"/>
    </row>
    <row r="549" ht="12.75">
      <c r="S549" s="3"/>
    </row>
    <row r="550" ht="12.75">
      <c r="S550" s="3"/>
    </row>
    <row r="551" ht="12.75">
      <c r="S551" s="3"/>
    </row>
    <row r="552" ht="12.75">
      <c r="S552" s="3"/>
    </row>
    <row r="553" ht="12.75">
      <c r="S553" s="3"/>
    </row>
    <row r="554" ht="12.75">
      <c r="S554" s="3"/>
    </row>
    <row r="555" ht="12.75">
      <c r="S555" s="3"/>
    </row>
    <row r="556" ht="12.75">
      <c r="S556" s="3"/>
    </row>
    <row r="557" ht="12.75">
      <c r="S557" s="3"/>
    </row>
    <row r="558" ht="12.75">
      <c r="S558" s="3"/>
    </row>
    <row r="559" ht="12.75">
      <c r="S559" s="3"/>
    </row>
    <row r="560" ht="12.75">
      <c r="S560" s="3"/>
    </row>
    <row r="561" ht="12.75">
      <c r="S561" s="3"/>
    </row>
    <row r="562" ht="12.75">
      <c r="S562" s="3"/>
    </row>
    <row r="563" ht="12.75">
      <c r="S563" s="3"/>
    </row>
    <row r="564" ht="12.75">
      <c r="S564" s="3"/>
    </row>
    <row r="565" ht="12.75">
      <c r="S565" s="3"/>
    </row>
    <row r="566" ht="12.75">
      <c r="S566" s="3"/>
    </row>
    <row r="567" ht="12.75">
      <c r="S567" s="3"/>
    </row>
    <row r="568" ht="12.75">
      <c r="S568" s="3"/>
    </row>
    <row r="569" ht="12.75">
      <c r="S569" s="3"/>
    </row>
    <row r="570" ht="12.75">
      <c r="S570" s="3"/>
    </row>
    <row r="571" ht="12.75">
      <c r="S571" s="3"/>
    </row>
    <row r="572" ht="12.75">
      <c r="S572" s="3"/>
    </row>
    <row r="573" ht="12.75">
      <c r="S573" s="3"/>
    </row>
    <row r="574" ht="12.75">
      <c r="S574" s="3"/>
    </row>
    <row r="575" ht="12.75">
      <c r="S575" s="3"/>
    </row>
    <row r="576" ht="12.75">
      <c r="S576" s="3"/>
    </row>
    <row r="577" ht="12.75">
      <c r="S577" s="3"/>
    </row>
    <row r="578" ht="12.75">
      <c r="S578" s="3"/>
    </row>
    <row r="579" ht="12.75">
      <c r="S579" s="3"/>
    </row>
    <row r="580" ht="12.75">
      <c r="S580" s="3"/>
    </row>
    <row r="581" ht="12.75">
      <c r="S581" s="3"/>
    </row>
    <row r="582" ht="12.75">
      <c r="S582" s="3"/>
    </row>
    <row r="583" ht="12.75">
      <c r="S583" s="3"/>
    </row>
    <row r="584" ht="12.75">
      <c r="S584" s="3"/>
    </row>
    <row r="585" ht="12.75">
      <c r="S585" s="3"/>
    </row>
    <row r="586" ht="12.75">
      <c r="S586" s="3"/>
    </row>
    <row r="587" ht="12.75">
      <c r="S587" s="3"/>
    </row>
    <row r="588" ht="12.75">
      <c r="S588" s="3"/>
    </row>
    <row r="589" ht="12.75">
      <c r="S589" s="3"/>
    </row>
    <row r="590" ht="12.75">
      <c r="S590" s="3"/>
    </row>
    <row r="591" ht="12.75">
      <c r="S591" s="3"/>
    </row>
    <row r="592" ht="12.75">
      <c r="S592" s="3"/>
    </row>
    <row r="593" ht="12.75">
      <c r="S593" s="3"/>
    </row>
    <row r="594" ht="12.75">
      <c r="S594" s="3"/>
    </row>
    <row r="595" ht="12.75">
      <c r="S595" s="3"/>
    </row>
    <row r="596" ht="12.75">
      <c r="S596" s="3"/>
    </row>
    <row r="597" ht="12.75">
      <c r="S597" s="3"/>
    </row>
    <row r="598" ht="12.75">
      <c r="S598" s="3"/>
    </row>
    <row r="599" ht="12.75">
      <c r="S599" s="3"/>
    </row>
    <row r="600" ht="12.75">
      <c r="S600" s="3"/>
    </row>
    <row r="601" ht="12.75">
      <c r="S601" s="3"/>
    </row>
    <row r="602" ht="12.75">
      <c r="S602" s="3"/>
    </row>
    <row r="603" ht="12.75">
      <c r="S603" s="3"/>
    </row>
    <row r="604" ht="12.75">
      <c r="S604" s="3"/>
    </row>
    <row r="605" ht="12.75">
      <c r="S605" s="3"/>
    </row>
    <row r="606" ht="12.75">
      <c r="S606" s="3"/>
    </row>
    <row r="607" ht="12.75">
      <c r="S607" s="3"/>
    </row>
    <row r="608" ht="12.75">
      <c r="S608" s="3"/>
    </row>
    <row r="609" ht="12.75">
      <c r="S609" s="3"/>
    </row>
    <row r="610" ht="12.75">
      <c r="S610" s="3"/>
    </row>
    <row r="611" ht="12.75">
      <c r="S611" s="3"/>
    </row>
    <row r="612" ht="12.75">
      <c r="S612" s="3"/>
    </row>
    <row r="613" ht="12.75">
      <c r="S613" s="3"/>
    </row>
    <row r="614" ht="12.75">
      <c r="S614" s="3"/>
    </row>
    <row r="615" ht="12.75">
      <c r="S615" s="3"/>
    </row>
    <row r="616" ht="12.75">
      <c r="S616" s="3"/>
    </row>
    <row r="617" ht="12.75">
      <c r="S617" s="3"/>
    </row>
    <row r="618" ht="12.75">
      <c r="S618" s="3"/>
    </row>
    <row r="619" ht="12.75">
      <c r="S619" s="3"/>
    </row>
    <row r="620" ht="12.75">
      <c r="S620" s="3"/>
    </row>
    <row r="621" ht="12.75">
      <c r="S621" s="3"/>
    </row>
    <row r="622" ht="12.75">
      <c r="S622" s="3"/>
    </row>
    <row r="623" ht="12.75">
      <c r="S623" s="3"/>
    </row>
    <row r="624" ht="12.75">
      <c r="S624" s="3"/>
    </row>
    <row r="625" ht="12.75">
      <c r="S625" s="3"/>
    </row>
    <row r="626" ht="12.75">
      <c r="S626" s="3"/>
    </row>
    <row r="627" ht="12.75">
      <c r="S627" s="3"/>
    </row>
    <row r="628" ht="12.75">
      <c r="S628" s="3"/>
    </row>
    <row r="629" ht="12.75">
      <c r="S629" s="3"/>
    </row>
    <row r="630" ht="12.75">
      <c r="S630" s="3"/>
    </row>
    <row r="631" ht="12.75">
      <c r="S631" s="3"/>
    </row>
    <row r="632" ht="12.75">
      <c r="S632" s="3"/>
    </row>
    <row r="633" ht="12.75">
      <c r="S633" s="3"/>
    </row>
    <row r="634" ht="12.75">
      <c r="S634" s="3"/>
    </row>
    <row r="635" ht="12.75">
      <c r="S635" s="3"/>
    </row>
    <row r="636" ht="12.75">
      <c r="S636" s="3"/>
    </row>
    <row r="637" ht="12.75">
      <c r="S637" s="3"/>
    </row>
    <row r="638" ht="12.75">
      <c r="S638" s="3"/>
    </row>
    <row r="639" ht="12.75">
      <c r="S639" s="3"/>
    </row>
    <row r="640" ht="12.75">
      <c r="S640" s="3"/>
    </row>
    <row r="641" ht="12.75">
      <c r="S641" s="3"/>
    </row>
    <row r="642" ht="12.75">
      <c r="S642" s="3"/>
    </row>
    <row r="643" ht="12.75">
      <c r="S643" s="3"/>
    </row>
    <row r="644" ht="12.75">
      <c r="S644" s="3"/>
    </row>
    <row r="645" ht="12.75">
      <c r="S645" s="3"/>
    </row>
    <row r="646" ht="12.75">
      <c r="S646" s="3"/>
    </row>
    <row r="647" ht="12.75">
      <c r="S647" s="3"/>
    </row>
    <row r="648" ht="12.75">
      <c r="S648" s="3"/>
    </row>
    <row r="649" ht="12.75">
      <c r="S649" s="3"/>
    </row>
    <row r="650" ht="12.75">
      <c r="S650" s="3"/>
    </row>
    <row r="651" ht="12.75">
      <c r="S651" s="3"/>
    </row>
    <row r="652" ht="12.75">
      <c r="S652" s="3"/>
    </row>
    <row r="653" ht="12.75">
      <c r="S653" s="3"/>
    </row>
    <row r="654" ht="12.75">
      <c r="S654" s="3"/>
    </row>
    <row r="655" ht="12.75">
      <c r="S655" s="3"/>
    </row>
    <row r="656" ht="12.75">
      <c r="S656" s="3"/>
    </row>
    <row r="657" ht="12.75">
      <c r="S657" s="3"/>
    </row>
    <row r="658" ht="12.75">
      <c r="S658" s="3"/>
    </row>
    <row r="659" ht="12.75">
      <c r="S659" s="3"/>
    </row>
    <row r="660" ht="12.75">
      <c r="S660" s="3"/>
    </row>
    <row r="661" ht="12.75">
      <c r="S661" s="3"/>
    </row>
    <row r="662" ht="12.75">
      <c r="S662" s="3"/>
    </row>
    <row r="663" ht="12.75">
      <c r="S663" s="3"/>
    </row>
    <row r="664" ht="12.75">
      <c r="S664" s="3"/>
    </row>
    <row r="665" ht="12.75">
      <c r="S665" s="3"/>
    </row>
    <row r="666" ht="12.75">
      <c r="S666" s="3"/>
    </row>
    <row r="667" ht="12.75">
      <c r="S667" s="3"/>
    </row>
    <row r="668" ht="12.75">
      <c r="S668" s="3"/>
    </row>
    <row r="669" ht="12.75">
      <c r="S669" s="3"/>
    </row>
    <row r="670" ht="12.75">
      <c r="S670" s="3"/>
    </row>
    <row r="671" ht="12.75">
      <c r="S671" s="3"/>
    </row>
    <row r="672" ht="12.75">
      <c r="S672" s="3"/>
    </row>
    <row r="673" ht="12.75">
      <c r="S673" s="3"/>
    </row>
    <row r="674" ht="12.75">
      <c r="S674" s="3"/>
    </row>
    <row r="675" ht="12.75">
      <c r="S675" s="3"/>
    </row>
    <row r="676" ht="12.75">
      <c r="S676" s="3"/>
    </row>
    <row r="677" ht="12.75">
      <c r="S677" s="3"/>
    </row>
    <row r="678" ht="12.75">
      <c r="S678" s="3"/>
    </row>
    <row r="679" ht="12.75">
      <c r="S679" s="3"/>
    </row>
    <row r="680" ht="12.75">
      <c r="S680" s="3"/>
    </row>
    <row r="681" ht="12.75">
      <c r="S681" s="3"/>
    </row>
    <row r="682" ht="12.75">
      <c r="S682" s="3"/>
    </row>
    <row r="683" ht="12.75">
      <c r="S683" s="3"/>
    </row>
    <row r="684" ht="12.75">
      <c r="S684" s="3"/>
    </row>
    <row r="685" ht="12.75">
      <c r="S685" s="3"/>
    </row>
    <row r="686" ht="12.75">
      <c r="S686" s="3"/>
    </row>
    <row r="687" ht="12.75">
      <c r="S687" s="3"/>
    </row>
    <row r="688" ht="12.75">
      <c r="S688" s="3"/>
    </row>
    <row r="689" ht="12.75">
      <c r="S689" s="3"/>
    </row>
    <row r="690" ht="12.75">
      <c r="S690" s="3"/>
    </row>
    <row r="691" ht="12.75">
      <c r="S691" s="3"/>
    </row>
    <row r="692" ht="12.75">
      <c r="S692" s="3"/>
    </row>
    <row r="693" ht="12.75">
      <c r="S693" s="3"/>
    </row>
    <row r="694" ht="12.75">
      <c r="S694" s="3"/>
    </row>
    <row r="695" ht="12.75">
      <c r="S695" s="3"/>
    </row>
    <row r="696" ht="12.75">
      <c r="S696" s="3"/>
    </row>
    <row r="697" ht="12.75">
      <c r="S697" s="3"/>
    </row>
    <row r="698" ht="12.75">
      <c r="S698" s="3"/>
    </row>
    <row r="699" ht="12.75">
      <c r="S699" s="3"/>
    </row>
    <row r="700" ht="12.75">
      <c r="S700" s="3"/>
    </row>
    <row r="701" ht="12.75">
      <c r="S701" s="3"/>
    </row>
    <row r="702" ht="12.75">
      <c r="S702" s="3"/>
    </row>
    <row r="703" ht="12.75">
      <c r="S703" s="3"/>
    </row>
    <row r="704" ht="12.75">
      <c r="S704" s="3"/>
    </row>
    <row r="705" ht="12.75">
      <c r="S705" s="3"/>
    </row>
    <row r="706" ht="12.75">
      <c r="S706" s="3"/>
    </row>
    <row r="707" ht="12.75">
      <c r="S707" s="3"/>
    </row>
    <row r="708" ht="12.75">
      <c r="S708" s="3"/>
    </row>
    <row r="709" ht="12.75">
      <c r="S709" s="3"/>
    </row>
    <row r="710" ht="12.75">
      <c r="S710" s="3"/>
    </row>
    <row r="711" ht="12.75">
      <c r="S711" s="3"/>
    </row>
    <row r="712" ht="12.75">
      <c r="S712" s="3"/>
    </row>
    <row r="713" ht="12.75">
      <c r="S713" s="3"/>
    </row>
    <row r="714" ht="12.75">
      <c r="S714" s="3"/>
    </row>
    <row r="715" ht="12.75">
      <c r="S715" s="3"/>
    </row>
    <row r="716" ht="12.75">
      <c r="S716" s="3"/>
    </row>
    <row r="717" ht="12.75">
      <c r="S717" s="3"/>
    </row>
    <row r="718" ht="12.75">
      <c r="S718" s="3"/>
    </row>
    <row r="719" ht="12.75">
      <c r="S719" s="3"/>
    </row>
    <row r="720" ht="12.75">
      <c r="S720" s="3"/>
    </row>
    <row r="721" ht="12.75">
      <c r="S721" s="3"/>
    </row>
    <row r="722" ht="12.75">
      <c r="S722" s="3"/>
    </row>
    <row r="723" ht="12.75">
      <c r="S723" s="3"/>
    </row>
    <row r="724" ht="12.75">
      <c r="S724" s="3"/>
    </row>
    <row r="725" ht="12.75">
      <c r="S725" s="3"/>
    </row>
    <row r="726" ht="12.75">
      <c r="S726" s="3"/>
    </row>
    <row r="727" ht="12.75">
      <c r="S727" s="3"/>
    </row>
    <row r="728" ht="12.75">
      <c r="S728" s="3"/>
    </row>
    <row r="729" ht="12.75">
      <c r="S729" s="3"/>
    </row>
    <row r="730" ht="12.75">
      <c r="S730" s="3"/>
    </row>
    <row r="731" ht="12.75">
      <c r="S731" s="3"/>
    </row>
    <row r="732" ht="12.75">
      <c r="S732" s="3"/>
    </row>
    <row r="733" ht="12.75">
      <c r="S733" s="3"/>
    </row>
    <row r="734" ht="12.75">
      <c r="S734" s="3"/>
    </row>
    <row r="735" ht="12.75">
      <c r="S735" s="3"/>
    </row>
    <row r="736" ht="12.75">
      <c r="S736" s="3"/>
    </row>
    <row r="737" ht="12.75">
      <c r="S737" s="3"/>
    </row>
    <row r="738" ht="12.75">
      <c r="S738" s="3"/>
    </row>
    <row r="739" ht="12.75">
      <c r="S739" s="3"/>
    </row>
    <row r="740" ht="12.75">
      <c r="S740" s="3"/>
    </row>
    <row r="741" ht="12.75">
      <c r="S741" s="3"/>
    </row>
    <row r="742" ht="12.75">
      <c r="S742" s="3"/>
    </row>
    <row r="743" ht="12.75">
      <c r="S743" s="3"/>
    </row>
    <row r="744" ht="12.75">
      <c r="S744" s="3"/>
    </row>
    <row r="745" ht="12.75">
      <c r="S745" s="3"/>
    </row>
    <row r="746" ht="12.75">
      <c r="S746" s="3"/>
    </row>
    <row r="747" ht="12.75">
      <c r="S747" s="3"/>
    </row>
    <row r="748" ht="12.75">
      <c r="S748" s="3"/>
    </row>
    <row r="749" ht="12.75">
      <c r="S749" s="3"/>
    </row>
    <row r="750" ht="12.75">
      <c r="S750" s="3"/>
    </row>
    <row r="751" ht="12.75">
      <c r="S751" s="3"/>
    </row>
    <row r="752" ht="12.75">
      <c r="S752" s="3"/>
    </row>
    <row r="753" ht="12.75">
      <c r="S753" s="3"/>
    </row>
    <row r="754" ht="12.75">
      <c r="S754" s="3"/>
    </row>
    <row r="755" ht="12.75">
      <c r="S755" s="3"/>
    </row>
    <row r="756" ht="12.75">
      <c r="S756" s="3"/>
    </row>
    <row r="757" ht="12.75">
      <c r="S757" s="3"/>
    </row>
    <row r="758" ht="12.75">
      <c r="S758" s="3"/>
    </row>
    <row r="759" ht="12.75">
      <c r="S759" s="3"/>
    </row>
    <row r="760" ht="12.75">
      <c r="S760" s="3"/>
    </row>
    <row r="761" ht="12.75">
      <c r="S761" s="3"/>
    </row>
    <row r="762" ht="12.75">
      <c r="S762" s="3"/>
    </row>
    <row r="763" ht="12.75">
      <c r="S763" s="3"/>
    </row>
    <row r="764" ht="12.75">
      <c r="S764" s="3"/>
    </row>
    <row r="765" ht="12.75">
      <c r="S765" s="3"/>
    </row>
    <row r="766" ht="12.75">
      <c r="S766" s="3"/>
    </row>
    <row r="767" ht="12.75">
      <c r="S767" s="3"/>
    </row>
    <row r="768" ht="12.75">
      <c r="S768" s="3"/>
    </row>
    <row r="769" ht="12.75">
      <c r="S769" s="3"/>
    </row>
    <row r="770" ht="12.75">
      <c r="S770" s="3"/>
    </row>
    <row r="771" ht="12.75">
      <c r="S771" s="3"/>
    </row>
    <row r="772" ht="12.75">
      <c r="S772" s="3"/>
    </row>
    <row r="773" ht="12.75">
      <c r="S773" s="3"/>
    </row>
    <row r="774" ht="12.75">
      <c r="S774" s="3"/>
    </row>
    <row r="775" ht="12.75">
      <c r="S775" s="3"/>
    </row>
    <row r="776" ht="12.75">
      <c r="S776" s="3"/>
    </row>
    <row r="777" ht="12.75">
      <c r="S777" s="3"/>
    </row>
    <row r="778" ht="12.75">
      <c r="S778" s="3"/>
    </row>
    <row r="779" ht="12.75">
      <c r="S779" s="3"/>
    </row>
    <row r="780" ht="12.75">
      <c r="S780" s="3"/>
    </row>
    <row r="781" ht="12.75">
      <c r="S781" s="3"/>
    </row>
    <row r="782" ht="12.75">
      <c r="S782" s="3"/>
    </row>
    <row r="783" ht="12.75">
      <c r="S783" s="3"/>
    </row>
    <row r="784" ht="12.75">
      <c r="S784" s="3"/>
    </row>
    <row r="785" ht="12.75">
      <c r="S785" s="3"/>
    </row>
    <row r="786" ht="12.75">
      <c r="S786" s="3"/>
    </row>
    <row r="787" ht="12.75">
      <c r="S787" s="3"/>
    </row>
    <row r="788" ht="12.75">
      <c r="S788" s="3"/>
    </row>
    <row r="789" ht="12.75">
      <c r="S789" s="3"/>
    </row>
    <row r="790" ht="12.75">
      <c r="S790" s="3"/>
    </row>
    <row r="791" ht="12.75">
      <c r="S791" s="3"/>
    </row>
    <row r="792" ht="12.75">
      <c r="S792" s="3"/>
    </row>
    <row r="793" ht="12.75">
      <c r="S793" s="3"/>
    </row>
    <row r="794" ht="12.75">
      <c r="S794" s="3"/>
    </row>
    <row r="795" ht="12.75">
      <c r="S795" s="3"/>
    </row>
    <row r="796" ht="12.75">
      <c r="S796" s="3"/>
    </row>
    <row r="797" ht="12.75">
      <c r="S797" s="3"/>
    </row>
    <row r="798" ht="12.75">
      <c r="S798" s="3"/>
    </row>
    <row r="799" ht="12.75">
      <c r="S799" s="3"/>
    </row>
    <row r="800" ht="12.75">
      <c r="S800" s="3"/>
    </row>
    <row r="801" ht="12.75">
      <c r="S801" s="3"/>
    </row>
    <row r="802" ht="12.75">
      <c r="S802" s="3"/>
    </row>
    <row r="803" ht="12.75">
      <c r="S803" s="3"/>
    </row>
    <row r="804" ht="12.75">
      <c r="S804" s="3"/>
    </row>
    <row r="805" ht="12.75">
      <c r="S805" s="3"/>
    </row>
    <row r="806" ht="12.75">
      <c r="S806" s="3"/>
    </row>
    <row r="807" ht="12.75">
      <c r="S807" s="3"/>
    </row>
    <row r="808" ht="12.75">
      <c r="S808" s="3"/>
    </row>
    <row r="809" ht="12.75">
      <c r="S809" s="3"/>
    </row>
    <row r="810" ht="12.75">
      <c r="S810" s="3"/>
    </row>
    <row r="811" ht="12.75">
      <c r="S811" s="3"/>
    </row>
    <row r="812" ht="12.75">
      <c r="S812" s="3"/>
    </row>
    <row r="813" ht="12.75">
      <c r="S813" s="3"/>
    </row>
    <row r="814" ht="12.75">
      <c r="S814" s="3"/>
    </row>
    <row r="815" ht="12.75">
      <c r="S815" s="3"/>
    </row>
    <row r="816" ht="12.75">
      <c r="S816" s="3"/>
    </row>
    <row r="817" ht="12.75">
      <c r="S817" s="3"/>
    </row>
    <row r="818" ht="12.75">
      <c r="S818" s="3"/>
    </row>
    <row r="819" ht="12.75">
      <c r="S819" s="3"/>
    </row>
    <row r="820" ht="12.75">
      <c r="S820" s="3"/>
    </row>
    <row r="821" ht="12.75">
      <c r="S821" s="3"/>
    </row>
    <row r="822" ht="12.75">
      <c r="S822" s="3"/>
    </row>
    <row r="823" ht="12.75">
      <c r="S823" s="3"/>
    </row>
    <row r="824" ht="12.75">
      <c r="S824" s="3"/>
    </row>
    <row r="825" ht="12.75">
      <c r="S825" s="3"/>
    </row>
    <row r="826" ht="12.75">
      <c r="S826" s="3"/>
    </row>
    <row r="827" ht="12.75">
      <c r="S827" s="3"/>
    </row>
    <row r="828" ht="12.75">
      <c r="S828" s="3"/>
    </row>
    <row r="829" ht="12.75">
      <c r="S829" s="3"/>
    </row>
    <row r="830" ht="12.75">
      <c r="S830" s="3"/>
    </row>
    <row r="831" ht="12.75">
      <c r="S831" s="3"/>
    </row>
    <row r="832" ht="12.75">
      <c r="S832" s="3"/>
    </row>
    <row r="833" ht="12.75">
      <c r="S833" s="3"/>
    </row>
    <row r="834" ht="12.75">
      <c r="S834" s="3"/>
    </row>
    <row r="835" ht="12.75">
      <c r="S835" s="3"/>
    </row>
    <row r="836" ht="12.75">
      <c r="S836" s="3"/>
    </row>
    <row r="837" ht="12.75">
      <c r="S837" s="3"/>
    </row>
    <row r="838" ht="12.75">
      <c r="S838" s="3"/>
    </row>
    <row r="839" ht="12.75">
      <c r="S839" s="3"/>
    </row>
    <row r="840" ht="12.75">
      <c r="S840" s="3"/>
    </row>
    <row r="841" ht="12.75">
      <c r="S841" s="3"/>
    </row>
    <row r="842" ht="12.75">
      <c r="S842" s="3"/>
    </row>
    <row r="843" ht="12.75">
      <c r="S843" s="3"/>
    </row>
    <row r="844" ht="12.75">
      <c r="S844" s="3"/>
    </row>
    <row r="845" ht="12.75">
      <c r="S845" s="3"/>
    </row>
    <row r="846" ht="12.75">
      <c r="S846" s="3"/>
    </row>
    <row r="847" ht="12.75">
      <c r="S847" s="3"/>
    </row>
    <row r="848" ht="12.75">
      <c r="S848" s="3"/>
    </row>
    <row r="849" ht="12.75">
      <c r="S849" s="3"/>
    </row>
    <row r="850" ht="12.75">
      <c r="S850" s="3"/>
    </row>
    <row r="851" ht="12.75">
      <c r="S851" s="3"/>
    </row>
    <row r="852" ht="12.75">
      <c r="S852" s="3"/>
    </row>
    <row r="853" ht="12.75">
      <c r="S853" s="3"/>
    </row>
    <row r="854" ht="12.75">
      <c r="S854" s="3"/>
    </row>
    <row r="855" ht="12.75">
      <c r="S855" s="3"/>
    </row>
    <row r="856" ht="12.75">
      <c r="S856" s="3"/>
    </row>
    <row r="857" ht="12.75">
      <c r="S857" s="3"/>
    </row>
    <row r="858" ht="12.75">
      <c r="S858" s="3"/>
    </row>
    <row r="859" ht="12.75">
      <c r="S859" s="3"/>
    </row>
    <row r="860" ht="12.75">
      <c r="S860" s="3"/>
    </row>
    <row r="861" ht="12.75">
      <c r="S861" s="3"/>
    </row>
    <row r="862" ht="12.75">
      <c r="S862" s="3"/>
    </row>
    <row r="863" ht="12.75">
      <c r="S863" s="3"/>
    </row>
    <row r="864" ht="12.75">
      <c r="S864" s="3"/>
    </row>
    <row r="865" ht="12.75">
      <c r="S865" s="3"/>
    </row>
    <row r="866" ht="12.75">
      <c r="S866" s="3"/>
    </row>
    <row r="867" ht="12.75">
      <c r="S867" s="3"/>
    </row>
    <row r="868" ht="12.75">
      <c r="S868" s="3"/>
    </row>
    <row r="869" ht="12.75">
      <c r="S869" s="3"/>
    </row>
    <row r="870" ht="12.75">
      <c r="S870" s="3"/>
    </row>
    <row r="871" ht="12.75">
      <c r="S871" s="3"/>
    </row>
    <row r="872" ht="12.75">
      <c r="S872" s="3"/>
    </row>
    <row r="873" ht="12.75">
      <c r="S873" s="3"/>
    </row>
    <row r="874" ht="12.75">
      <c r="S874" s="3"/>
    </row>
    <row r="875" ht="12.75">
      <c r="S875" s="3"/>
    </row>
    <row r="876" ht="12.75">
      <c r="S876" s="3"/>
    </row>
    <row r="877" ht="12.75">
      <c r="S877" s="3"/>
    </row>
    <row r="878" ht="12.75">
      <c r="S878" s="3"/>
    </row>
    <row r="879" ht="12.75">
      <c r="S879" s="3"/>
    </row>
    <row r="880" ht="12.75">
      <c r="S880" s="3"/>
    </row>
    <row r="881" ht="12.75">
      <c r="S881" s="3"/>
    </row>
    <row r="882" ht="12.75">
      <c r="S882" s="3"/>
    </row>
    <row r="883" ht="12.75">
      <c r="S883" s="3"/>
    </row>
    <row r="884" ht="12.75">
      <c r="S884" s="3"/>
    </row>
    <row r="885" ht="12.75">
      <c r="S885" s="3"/>
    </row>
    <row r="886" ht="12.75">
      <c r="S886" s="3"/>
    </row>
    <row r="887" ht="12.75">
      <c r="S887" s="3"/>
    </row>
    <row r="888" ht="12.75">
      <c r="S888" s="3"/>
    </row>
    <row r="889" ht="12.75">
      <c r="S889" s="3"/>
    </row>
    <row r="890" ht="12.75">
      <c r="S890" s="3"/>
    </row>
    <row r="891" ht="12.75">
      <c r="S891" s="3"/>
    </row>
    <row r="892" ht="12.75">
      <c r="S892" s="3"/>
    </row>
    <row r="893" ht="12.75">
      <c r="S893" s="3"/>
    </row>
    <row r="894" ht="12.75">
      <c r="S894" s="3"/>
    </row>
    <row r="895" ht="12.75">
      <c r="S895" s="3"/>
    </row>
    <row r="896" ht="12.75">
      <c r="S896" s="3"/>
    </row>
    <row r="897" ht="12.75">
      <c r="S897" s="3"/>
    </row>
    <row r="898" ht="12.75">
      <c r="S898" s="3"/>
    </row>
    <row r="899" ht="12.75">
      <c r="S899" s="3"/>
    </row>
    <row r="900" ht="12.75">
      <c r="S900" s="3"/>
    </row>
    <row r="901" ht="12.75">
      <c r="S901" s="3"/>
    </row>
    <row r="902" ht="12.75">
      <c r="S902" s="3"/>
    </row>
    <row r="903" ht="12.75">
      <c r="S903" s="3"/>
    </row>
    <row r="904" ht="12.75">
      <c r="S904" s="3"/>
    </row>
    <row r="905" ht="12.75">
      <c r="S905" s="3"/>
    </row>
    <row r="906" ht="12.75">
      <c r="S906" s="3"/>
    </row>
    <row r="907" ht="12.75">
      <c r="S907" s="3"/>
    </row>
    <row r="908" ht="12.75">
      <c r="S908" s="3"/>
    </row>
    <row r="909" ht="12.75">
      <c r="S909" s="3"/>
    </row>
    <row r="910" ht="12.75">
      <c r="S910" s="3"/>
    </row>
    <row r="911" ht="12.75">
      <c r="S911" s="3"/>
    </row>
    <row r="912" ht="12.75">
      <c r="S912" s="3"/>
    </row>
    <row r="913" ht="12.75">
      <c r="S913" s="3"/>
    </row>
    <row r="914" ht="12.75">
      <c r="S914" s="3"/>
    </row>
    <row r="915" ht="12.75">
      <c r="S915" s="3"/>
    </row>
    <row r="916" ht="12.75">
      <c r="S916" s="3"/>
    </row>
    <row r="917" ht="12.75">
      <c r="S917" s="3"/>
    </row>
    <row r="918" ht="12.75">
      <c r="S918" s="3"/>
    </row>
    <row r="919" ht="12.75">
      <c r="S919" s="3"/>
    </row>
    <row r="920" ht="12.75">
      <c r="S920" s="3"/>
    </row>
    <row r="921" ht="12.75">
      <c r="S921" s="3"/>
    </row>
    <row r="922" ht="12.75">
      <c r="S922" s="3"/>
    </row>
    <row r="923" ht="12.75">
      <c r="S923" s="3"/>
    </row>
    <row r="924" ht="12.75">
      <c r="S924" s="3"/>
    </row>
    <row r="925" ht="12.75">
      <c r="S925" s="3"/>
    </row>
    <row r="926" ht="12.75">
      <c r="S926" s="3"/>
    </row>
    <row r="927" ht="12.75">
      <c r="S927" s="3"/>
    </row>
    <row r="928" ht="12.75">
      <c r="S928" s="3"/>
    </row>
    <row r="929" ht="12.75">
      <c r="S929" s="3"/>
    </row>
    <row r="930" ht="12.75">
      <c r="S930" s="3"/>
    </row>
    <row r="931" ht="12.75">
      <c r="S931" s="3"/>
    </row>
    <row r="932" ht="12.75">
      <c r="S932" s="3"/>
    </row>
    <row r="933" ht="12.75">
      <c r="S933" s="3"/>
    </row>
    <row r="934" ht="12.75">
      <c r="S934" s="3"/>
    </row>
    <row r="935" ht="12.75">
      <c r="S935" s="3"/>
    </row>
    <row r="936" ht="12.75">
      <c r="S936" s="3"/>
    </row>
    <row r="937" ht="12.75">
      <c r="S937" s="3"/>
    </row>
    <row r="938" ht="12.75">
      <c r="S938" s="3"/>
    </row>
    <row r="939" ht="12.75">
      <c r="S939" s="3"/>
    </row>
    <row r="940" ht="12.75">
      <c r="S940" s="3"/>
    </row>
    <row r="941" ht="12.75">
      <c r="S941" s="3"/>
    </row>
    <row r="942" ht="12.75">
      <c r="S942" s="3"/>
    </row>
    <row r="943" ht="12.75">
      <c r="S943" s="3"/>
    </row>
    <row r="944" ht="12.75">
      <c r="S944" s="3"/>
    </row>
    <row r="945" ht="12.75">
      <c r="S945" s="3"/>
    </row>
    <row r="946" ht="12.75">
      <c r="S946" s="3"/>
    </row>
    <row r="947" ht="12.75">
      <c r="S947" s="3"/>
    </row>
    <row r="948" ht="12.75">
      <c r="S948" s="3"/>
    </row>
    <row r="949" ht="12.75">
      <c r="S949" s="3"/>
    </row>
    <row r="950" ht="12.75">
      <c r="S950" s="3"/>
    </row>
    <row r="951" ht="12.75">
      <c r="S951" s="3"/>
    </row>
    <row r="952" ht="12.75">
      <c r="S952" s="3"/>
    </row>
    <row r="953" ht="12.75">
      <c r="S953" s="3"/>
    </row>
    <row r="954" ht="12.75">
      <c r="S954" s="3"/>
    </row>
    <row r="955" ht="12.75">
      <c r="S955" s="3"/>
    </row>
    <row r="956" ht="12.75">
      <c r="S956" s="3"/>
    </row>
    <row r="957" ht="12.75">
      <c r="S957" s="3"/>
    </row>
    <row r="958" ht="12.75">
      <c r="S958" s="3"/>
    </row>
    <row r="959" ht="12.75">
      <c r="S959" s="3"/>
    </row>
    <row r="960" ht="12.75">
      <c r="S960" s="3"/>
    </row>
    <row r="961" ht="12.75">
      <c r="S961" s="3"/>
    </row>
    <row r="962" ht="12.75">
      <c r="S962" s="3"/>
    </row>
    <row r="963" ht="12.75">
      <c r="S963" s="3"/>
    </row>
    <row r="964" ht="12.75">
      <c r="S964" s="3"/>
    </row>
    <row r="965" ht="12.75">
      <c r="S965" s="3"/>
    </row>
    <row r="966" ht="12.75">
      <c r="S966" s="3"/>
    </row>
    <row r="967" ht="12.75">
      <c r="S967" s="3"/>
    </row>
    <row r="968" ht="12.75">
      <c r="S968" s="3"/>
    </row>
    <row r="969" ht="12.75">
      <c r="S969" s="3"/>
    </row>
    <row r="970" ht="12.75">
      <c r="S970" s="3"/>
    </row>
    <row r="971" ht="12.75">
      <c r="S971" s="3"/>
    </row>
    <row r="972" ht="12.75">
      <c r="S972" s="3"/>
    </row>
    <row r="973" ht="12.75">
      <c r="S973" s="3"/>
    </row>
    <row r="974" ht="12.75">
      <c r="S974" s="3"/>
    </row>
    <row r="975" ht="12.75">
      <c r="S975" s="3"/>
    </row>
    <row r="976" ht="12.75">
      <c r="S976" s="3"/>
    </row>
    <row r="977" ht="12.75">
      <c r="S977" s="3"/>
    </row>
    <row r="978" ht="12.75">
      <c r="S978" s="3"/>
    </row>
    <row r="979" ht="12.75">
      <c r="S979" s="3"/>
    </row>
    <row r="980" ht="12.75">
      <c r="S980" s="3"/>
    </row>
    <row r="981" ht="12.75">
      <c r="S981" s="3"/>
    </row>
    <row r="982" ht="12.75">
      <c r="S982" s="3"/>
    </row>
    <row r="983" ht="12.75">
      <c r="S983" s="3"/>
    </row>
    <row r="984" ht="12.75">
      <c r="S984" s="3"/>
    </row>
    <row r="985" ht="12.75">
      <c r="S985" s="3"/>
    </row>
    <row r="986" ht="12.75">
      <c r="S986" s="3"/>
    </row>
    <row r="987" ht="12.75">
      <c r="S987" s="3"/>
    </row>
    <row r="988" ht="12.75">
      <c r="S988" s="3"/>
    </row>
    <row r="989" ht="12.75">
      <c r="S989" s="3"/>
    </row>
    <row r="990" ht="12.75">
      <c r="S990" s="3"/>
    </row>
    <row r="991" ht="12.75">
      <c r="S991" s="3"/>
    </row>
    <row r="992" ht="12.75">
      <c r="S992" s="3"/>
    </row>
    <row r="993" ht="12.75">
      <c r="S993" s="3"/>
    </row>
    <row r="994" ht="12.75">
      <c r="S994" s="3"/>
    </row>
    <row r="995" ht="12.75">
      <c r="S995" s="3"/>
    </row>
    <row r="996" ht="12.75">
      <c r="S996" s="3"/>
    </row>
    <row r="997" ht="12.75">
      <c r="S997" s="3"/>
    </row>
    <row r="998" ht="12.75">
      <c r="S998" s="3"/>
    </row>
    <row r="999" ht="12.75">
      <c r="S999" s="3"/>
    </row>
    <row r="1000" ht="12.75">
      <c r="S1000" s="3"/>
    </row>
    <row r="1001" ht="12.75">
      <c r="S1001" s="3"/>
    </row>
    <row r="1002" ht="12.75">
      <c r="S1002" s="3"/>
    </row>
    <row r="1003" ht="12.75">
      <c r="S1003" s="3"/>
    </row>
    <row r="1004" ht="12.75">
      <c r="S1004" s="3"/>
    </row>
    <row r="1005" ht="12.75">
      <c r="S1005" s="3"/>
    </row>
    <row r="1006" ht="12.75">
      <c r="S1006" s="3"/>
    </row>
    <row r="1007" ht="12.75">
      <c r="S1007" s="3"/>
    </row>
    <row r="1008" ht="12.75">
      <c r="S1008" s="3"/>
    </row>
    <row r="1009" ht="12.75">
      <c r="S1009" s="3"/>
    </row>
    <row r="1010" ht="12.75">
      <c r="S1010" s="3"/>
    </row>
    <row r="1011" ht="12.75">
      <c r="S1011" s="3"/>
    </row>
    <row r="1012" ht="12.75">
      <c r="S1012" s="3"/>
    </row>
    <row r="1013" ht="12.75">
      <c r="S1013" s="3"/>
    </row>
    <row r="1014" ht="12.75">
      <c r="S1014" s="3"/>
    </row>
    <row r="1015" ht="12.75">
      <c r="S1015" s="3"/>
    </row>
    <row r="1016" ht="12.75">
      <c r="S1016" s="3"/>
    </row>
    <row r="1017" ht="12.75">
      <c r="S1017" s="3"/>
    </row>
    <row r="1018" ht="12.75">
      <c r="S1018" s="3"/>
    </row>
    <row r="1019" ht="12.75">
      <c r="S1019" s="3"/>
    </row>
    <row r="1020" ht="12.75">
      <c r="S1020" s="3"/>
    </row>
    <row r="1021" ht="12.75">
      <c r="S1021" s="3"/>
    </row>
    <row r="1022" ht="12.75">
      <c r="S1022" s="3"/>
    </row>
    <row r="1023" ht="12.75">
      <c r="S1023" s="3"/>
    </row>
    <row r="1024" ht="12.75">
      <c r="S1024" s="3"/>
    </row>
    <row r="1025" ht="12.75">
      <c r="S1025" s="3"/>
    </row>
    <row r="1026" ht="12.75">
      <c r="S1026" s="3"/>
    </row>
    <row r="1027" ht="12.75">
      <c r="S1027" s="3"/>
    </row>
    <row r="1028" ht="12.75">
      <c r="S1028" s="3"/>
    </row>
    <row r="1029" ht="12.75">
      <c r="S1029" s="3"/>
    </row>
    <row r="1030" ht="12.75">
      <c r="S1030" s="3"/>
    </row>
    <row r="1031" ht="12.75">
      <c r="S1031" s="3"/>
    </row>
    <row r="1032" ht="12.75">
      <c r="S1032" s="3"/>
    </row>
    <row r="1033" ht="12.75">
      <c r="S1033" s="3"/>
    </row>
    <row r="1034" ht="12.75">
      <c r="S1034" s="3"/>
    </row>
    <row r="1035" ht="12.75">
      <c r="S1035" s="3"/>
    </row>
    <row r="1036" ht="12.75">
      <c r="S1036" s="3"/>
    </row>
    <row r="1037" ht="12.75">
      <c r="S1037" s="3"/>
    </row>
    <row r="1038" ht="12.75">
      <c r="S1038" s="3"/>
    </row>
    <row r="1039" ht="12.75">
      <c r="S1039" s="3"/>
    </row>
    <row r="1040" ht="12.75">
      <c r="S1040" s="3"/>
    </row>
    <row r="1041" ht="12.75">
      <c r="S1041" s="3"/>
    </row>
    <row r="1042" ht="12.75">
      <c r="S1042" s="3"/>
    </row>
    <row r="1043" ht="12.75">
      <c r="S1043" s="3"/>
    </row>
    <row r="1044" ht="12.75">
      <c r="S1044" s="3"/>
    </row>
    <row r="1045" ht="12.75">
      <c r="S1045" s="3"/>
    </row>
    <row r="1046" ht="12.75">
      <c r="S1046" s="3"/>
    </row>
    <row r="1047" ht="12.75">
      <c r="S1047" s="3"/>
    </row>
    <row r="1048" ht="12.75">
      <c r="S1048" s="3"/>
    </row>
    <row r="1049" ht="12.75">
      <c r="S1049" s="3"/>
    </row>
    <row r="1050" ht="12.75">
      <c r="S1050" s="3"/>
    </row>
    <row r="1051" ht="12.75">
      <c r="S1051" s="3"/>
    </row>
    <row r="1052" ht="12.75">
      <c r="S1052" s="3"/>
    </row>
    <row r="1053" ht="12.75">
      <c r="S1053" s="3"/>
    </row>
    <row r="1054" ht="12.75">
      <c r="S1054" s="3"/>
    </row>
    <row r="1055" ht="12.75">
      <c r="S1055" s="3"/>
    </row>
    <row r="1056" ht="12.75">
      <c r="S1056" s="3"/>
    </row>
    <row r="1057" ht="12.75">
      <c r="S1057" s="3"/>
    </row>
    <row r="1058" ht="12.75">
      <c r="S1058" s="3"/>
    </row>
    <row r="1059" ht="12.75">
      <c r="S1059" s="3"/>
    </row>
    <row r="1060" ht="12.75">
      <c r="S1060" s="3"/>
    </row>
    <row r="1061" ht="12.75">
      <c r="S1061" s="3"/>
    </row>
    <row r="1062" ht="12.75">
      <c r="S1062" s="3"/>
    </row>
    <row r="1063" ht="12.75">
      <c r="S1063" s="3"/>
    </row>
    <row r="1064" ht="12.75">
      <c r="S1064" s="3"/>
    </row>
    <row r="1065" ht="12.75">
      <c r="S1065" s="3"/>
    </row>
    <row r="1066" ht="12.75">
      <c r="S1066" s="3"/>
    </row>
    <row r="1067" ht="12.75">
      <c r="S1067" s="3"/>
    </row>
    <row r="1068" ht="12.75">
      <c r="S1068" s="3"/>
    </row>
    <row r="1069" ht="12.75">
      <c r="S1069" s="3"/>
    </row>
    <row r="1070" ht="12.75">
      <c r="S1070" s="3"/>
    </row>
    <row r="1071" ht="12.75">
      <c r="S1071" s="3"/>
    </row>
    <row r="1072" ht="12.75">
      <c r="S1072" s="3"/>
    </row>
    <row r="1073" ht="12.75">
      <c r="S1073" s="3"/>
    </row>
    <row r="1074" ht="12.75">
      <c r="S1074" s="3"/>
    </row>
    <row r="1075" ht="12.75">
      <c r="S1075" s="3"/>
    </row>
    <row r="1076" ht="12.75">
      <c r="S1076" s="3"/>
    </row>
    <row r="1077" ht="12.75">
      <c r="S1077" s="3"/>
    </row>
    <row r="1078" ht="12.75">
      <c r="S1078" s="3"/>
    </row>
    <row r="1079" ht="12.75">
      <c r="S1079" s="3"/>
    </row>
    <row r="1080" ht="12.75">
      <c r="S1080" s="3"/>
    </row>
    <row r="1081" ht="12.75">
      <c r="S1081" s="3"/>
    </row>
    <row r="1082" ht="12.75">
      <c r="S1082" s="3"/>
    </row>
    <row r="1083" ht="12.75">
      <c r="S1083" s="3"/>
    </row>
    <row r="1084" ht="12.75">
      <c r="S1084" s="3"/>
    </row>
    <row r="1085" ht="12.75">
      <c r="S1085" s="3"/>
    </row>
    <row r="1086" ht="12.75">
      <c r="S1086" s="3"/>
    </row>
    <row r="1087" ht="12.75">
      <c r="S1087" s="3"/>
    </row>
    <row r="1088" ht="12.75">
      <c r="S1088" s="3"/>
    </row>
    <row r="1089" ht="12.75">
      <c r="S1089" s="3"/>
    </row>
    <row r="1090" ht="12.75">
      <c r="S1090" s="3"/>
    </row>
    <row r="1091" ht="12.75">
      <c r="S1091" s="3"/>
    </row>
    <row r="1092" ht="12.75">
      <c r="S1092" s="3"/>
    </row>
    <row r="1093" ht="12.75">
      <c r="S1093" s="3"/>
    </row>
    <row r="1094" ht="12.75">
      <c r="S1094" s="3"/>
    </row>
    <row r="1095" ht="12.75">
      <c r="S1095" s="3"/>
    </row>
    <row r="1096" ht="12.75">
      <c r="S1096" s="3"/>
    </row>
    <row r="1097" ht="12.75">
      <c r="S1097" s="3"/>
    </row>
    <row r="1098" ht="12.75">
      <c r="S1098" s="3"/>
    </row>
    <row r="1099" ht="12.75">
      <c r="S1099" s="3"/>
    </row>
    <row r="1100" ht="12.75">
      <c r="S1100" s="3"/>
    </row>
    <row r="1101" ht="12.75">
      <c r="S1101" s="3"/>
    </row>
    <row r="1102" ht="12.75">
      <c r="S1102" s="3"/>
    </row>
    <row r="1103" ht="12.75">
      <c r="S1103" s="3"/>
    </row>
    <row r="1104" ht="12.75">
      <c r="S1104" s="3"/>
    </row>
    <row r="1105" ht="12.75">
      <c r="S1105" s="3"/>
    </row>
    <row r="1106" ht="12.75">
      <c r="S1106" s="3"/>
    </row>
    <row r="1107" ht="12.75">
      <c r="S1107" s="3"/>
    </row>
    <row r="1108" ht="12.75">
      <c r="S1108" s="3"/>
    </row>
    <row r="1109" ht="12.75">
      <c r="S1109" s="3"/>
    </row>
    <row r="1110" ht="12.75">
      <c r="S1110" s="3"/>
    </row>
    <row r="1111" ht="12.75">
      <c r="S1111" s="3"/>
    </row>
    <row r="1112" ht="12.75">
      <c r="S1112" s="3"/>
    </row>
    <row r="1113" ht="12.75">
      <c r="S1113" s="3"/>
    </row>
    <row r="1114" ht="12.75">
      <c r="S1114" s="3"/>
    </row>
    <row r="1115" ht="12.75">
      <c r="S1115" s="3"/>
    </row>
    <row r="1116" ht="12.75">
      <c r="S1116" s="3"/>
    </row>
    <row r="1117" ht="12.75">
      <c r="S1117" s="3"/>
    </row>
    <row r="1118" ht="12.75">
      <c r="S1118" s="3"/>
    </row>
    <row r="1119" ht="12.75">
      <c r="S1119" s="3"/>
    </row>
    <row r="1120" ht="12.75">
      <c r="S1120" s="3"/>
    </row>
    <row r="1121" ht="12.75">
      <c r="S1121" s="3"/>
    </row>
    <row r="1122" ht="12.75">
      <c r="S1122" s="3"/>
    </row>
    <row r="1123" ht="12.75">
      <c r="S1123" s="3"/>
    </row>
    <row r="1124" ht="12.75">
      <c r="S1124" s="3"/>
    </row>
    <row r="1125" ht="12.75">
      <c r="S1125" s="3"/>
    </row>
    <row r="1126" ht="12.75">
      <c r="S1126" s="3"/>
    </row>
    <row r="1127" ht="12.75">
      <c r="S1127" s="3"/>
    </row>
    <row r="1128" ht="12.75">
      <c r="S1128" s="3"/>
    </row>
    <row r="1129" ht="12.75">
      <c r="S1129" s="3"/>
    </row>
    <row r="1130" ht="12.75">
      <c r="S1130" s="3"/>
    </row>
    <row r="1131" ht="12.75">
      <c r="S1131" s="3"/>
    </row>
    <row r="1132" ht="12.75">
      <c r="S1132" s="3"/>
    </row>
    <row r="1133" ht="12.75">
      <c r="S1133" s="3"/>
    </row>
    <row r="1134" ht="12.75">
      <c r="S1134" s="3"/>
    </row>
    <row r="1135" ht="12.75">
      <c r="S1135" s="3"/>
    </row>
    <row r="1136" ht="12.75">
      <c r="S1136" s="3"/>
    </row>
    <row r="1137" ht="12.75">
      <c r="S1137" s="3"/>
    </row>
    <row r="1138" ht="12.75">
      <c r="S1138" s="3"/>
    </row>
    <row r="1139" ht="12.75">
      <c r="S1139" s="3"/>
    </row>
    <row r="1140" ht="12.75">
      <c r="S1140" s="3"/>
    </row>
    <row r="1141" ht="12.75">
      <c r="S1141" s="3"/>
    </row>
    <row r="1142" ht="12.75">
      <c r="S1142" s="3"/>
    </row>
    <row r="1143" ht="12.75">
      <c r="S1143" s="3"/>
    </row>
    <row r="1144" ht="12.75">
      <c r="S1144" s="3"/>
    </row>
    <row r="1145" ht="12.75">
      <c r="S1145" s="3"/>
    </row>
    <row r="1146" ht="12.75">
      <c r="S1146" s="3"/>
    </row>
    <row r="1147" ht="12.75">
      <c r="S1147" s="3"/>
    </row>
    <row r="1148" ht="12.75">
      <c r="S1148" s="3"/>
    </row>
    <row r="1149" ht="12.75">
      <c r="S1149" s="3"/>
    </row>
    <row r="1150" ht="12.75">
      <c r="S1150" s="3"/>
    </row>
    <row r="1151" ht="12.75">
      <c r="S1151" s="3"/>
    </row>
    <row r="1152" ht="12.75">
      <c r="S1152" s="3"/>
    </row>
    <row r="1153" ht="12.75">
      <c r="S1153" s="3"/>
    </row>
    <row r="1154" ht="12.75">
      <c r="S1154" s="3"/>
    </row>
    <row r="1155" ht="12.75">
      <c r="S1155" s="3"/>
    </row>
    <row r="1156" ht="12.75">
      <c r="S1156" s="3"/>
    </row>
    <row r="1157" ht="12.75">
      <c r="S1157" s="3"/>
    </row>
    <row r="1158" ht="12.75">
      <c r="S1158" s="3"/>
    </row>
    <row r="1159" ht="12.75">
      <c r="S1159" s="3"/>
    </row>
    <row r="1160" ht="12.75">
      <c r="S1160" s="3"/>
    </row>
    <row r="1161" ht="12.75">
      <c r="S1161" s="3"/>
    </row>
    <row r="1162" ht="12.75">
      <c r="S1162" s="3"/>
    </row>
    <row r="1163" ht="12.75">
      <c r="S1163" s="3"/>
    </row>
    <row r="1164" ht="12.75">
      <c r="S1164" s="3"/>
    </row>
    <row r="1165" ht="12.75">
      <c r="S1165" s="3"/>
    </row>
    <row r="1166" ht="12.75">
      <c r="S1166" s="3"/>
    </row>
    <row r="1167" ht="12.75">
      <c r="S1167" s="3"/>
    </row>
    <row r="1168" ht="12.75">
      <c r="S1168" s="3"/>
    </row>
    <row r="1169" ht="12.75">
      <c r="S1169" s="3"/>
    </row>
    <row r="1170" ht="12.75">
      <c r="S1170" s="3"/>
    </row>
    <row r="1171" ht="12.75">
      <c r="S1171" s="3"/>
    </row>
    <row r="1172" ht="12.75">
      <c r="S1172" s="3"/>
    </row>
    <row r="1173" ht="12.75">
      <c r="S1173" s="3"/>
    </row>
    <row r="1174" ht="12.75">
      <c r="S1174" s="3"/>
    </row>
    <row r="1175" ht="12.75">
      <c r="S1175" s="3"/>
    </row>
    <row r="1176" ht="12.75">
      <c r="S1176" s="3"/>
    </row>
    <row r="1177" ht="12.75">
      <c r="S1177" s="3"/>
    </row>
    <row r="1178" ht="12.75">
      <c r="S1178" s="3"/>
    </row>
    <row r="1179" ht="12.75">
      <c r="S1179" s="3"/>
    </row>
    <row r="1180" ht="12.75">
      <c r="S1180" s="3"/>
    </row>
    <row r="1181" ht="12.75">
      <c r="S1181" s="3"/>
    </row>
    <row r="1182" ht="12.75">
      <c r="S1182" s="3"/>
    </row>
    <row r="1183" ht="12.75">
      <c r="S1183" s="3"/>
    </row>
    <row r="1184" ht="12.75">
      <c r="S1184" s="3"/>
    </row>
    <row r="1185" ht="12.75">
      <c r="S1185" s="3"/>
    </row>
    <row r="1186" ht="12.75">
      <c r="S1186" s="3"/>
    </row>
    <row r="1187" ht="12.75">
      <c r="S1187" s="3"/>
    </row>
    <row r="1188" ht="12.75">
      <c r="S1188" s="3"/>
    </row>
    <row r="1189" ht="12.75">
      <c r="S1189" s="3"/>
    </row>
    <row r="1190" ht="12.75">
      <c r="S1190" s="3"/>
    </row>
    <row r="1191" ht="12.75">
      <c r="S1191" s="3"/>
    </row>
    <row r="1192" ht="12.75">
      <c r="S1192" s="3"/>
    </row>
    <row r="1193" ht="12.75">
      <c r="S1193" s="3"/>
    </row>
    <row r="1194" ht="12.75">
      <c r="S1194" s="3"/>
    </row>
    <row r="1195" ht="12.75">
      <c r="S1195" s="3"/>
    </row>
    <row r="1196" ht="12.75">
      <c r="S1196" s="3"/>
    </row>
    <row r="1197" ht="12.75">
      <c r="S1197" s="3"/>
    </row>
    <row r="1198" ht="12.75">
      <c r="S1198" s="3"/>
    </row>
    <row r="1199" ht="12.75">
      <c r="S1199" s="3"/>
    </row>
    <row r="1200" ht="12.75">
      <c r="S1200" s="3"/>
    </row>
    <row r="1201" ht="12.75">
      <c r="S1201" s="3"/>
    </row>
    <row r="1202" ht="12.75">
      <c r="S1202" s="3"/>
    </row>
    <row r="1203" ht="12.75">
      <c r="S1203" s="3"/>
    </row>
    <row r="1204" ht="12.75">
      <c r="S1204" s="3"/>
    </row>
    <row r="1205" ht="12.75">
      <c r="S1205" s="3"/>
    </row>
    <row r="1206" ht="12.75">
      <c r="S1206" s="3"/>
    </row>
    <row r="1207" ht="12.75">
      <c r="S1207" s="3"/>
    </row>
    <row r="1208" ht="12.75">
      <c r="S1208" s="3"/>
    </row>
    <row r="1209" ht="12.75">
      <c r="S1209" s="3"/>
    </row>
    <row r="1210" ht="12.75">
      <c r="S1210" s="3"/>
    </row>
    <row r="1211" ht="12.75">
      <c r="S1211" s="3"/>
    </row>
    <row r="1212" ht="12.75">
      <c r="S1212" s="3"/>
    </row>
    <row r="1213" ht="12.75">
      <c r="S1213" s="3"/>
    </row>
    <row r="1214" ht="12.75">
      <c r="S1214" s="3"/>
    </row>
    <row r="1215" ht="12.75">
      <c r="S1215" s="3"/>
    </row>
    <row r="1216" ht="12.75">
      <c r="S1216" s="3"/>
    </row>
    <row r="1217" ht="12.75">
      <c r="S1217" s="3"/>
    </row>
    <row r="1218" ht="12.75">
      <c r="S1218" s="3"/>
    </row>
    <row r="1219" ht="12.75">
      <c r="S1219" s="3"/>
    </row>
    <row r="1220" ht="12.75">
      <c r="S1220" s="3"/>
    </row>
    <row r="1221" ht="12.75">
      <c r="S1221" s="3"/>
    </row>
    <row r="1222" ht="12.75">
      <c r="S1222" s="3"/>
    </row>
    <row r="1223" ht="12.75">
      <c r="S1223" s="3"/>
    </row>
    <row r="1224" ht="12.75">
      <c r="S1224" s="3"/>
    </row>
    <row r="1225" ht="12.75">
      <c r="S1225" s="3"/>
    </row>
    <row r="1226" ht="12.75">
      <c r="S1226" s="3"/>
    </row>
    <row r="1227" ht="12.75">
      <c r="S1227" s="3"/>
    </row>
    <row r="1228" ht="12.75">
      <c r="S1228" s="3"/>
    </row>
    <row r="1229" ht="12.75">
      <c r="S1229" s="3"/>
    </row>
    <row r="1230" ht="12.75">
      <c r="S1230" s="3"/>
    </row>
    <row r="1231" ht="12.75">
      <c r="S1231" s="3"/>
    </row>
    <row r="1232" ht="12.75">
      <c r="S1232" s="3"/>
    </row>
    <row r="1233" ht="12.75">
      <c r="S1233" s="3"/>
    </row>
    <row r="1234" ht="12.75">
      <c r="S1234" s="3"/>
    </row>
    <row r="1235" ht="12.75">
      <c r="S1235" s="3"/>
    </row>
    <row r="1236" ht="12.75">
      <c r="S1236" s="3"/>
    </row>
    <row r="1237" ht="12.75">
      <c r="S1237" s="3"/>
    </row>
    <row r="1238" ht="12.75">
      <c r="S1238" s="3"/>
    </row>
    <row r="1239" ht="12.75">
      <c r="S1239" s="3"/>
    </row>
    <row r="1240" ht="12.75">
      <c r="S1240" s="3"/>
    </row>
    <row r="1241" ht="12.75">
      <c r="S1241" s="3"/>
    </row>
    <row r="1242" ht="12.75">
      <c r="S1242" s="3"/>
    </row>
    <row r="1243" ht="12.75">
      <c r="S1243" s="3"/>
    </row>
    <row r="1244" ht="12.75">
      <c r="S1244" s="3"/>
    </row>
    <row r="1245" ht="12.75">
      <c r="S1245" s="3"/>
    </row>
    <row r="1246" ht="12.75">
      <c r="S1246" s="3"/>
    </row>
    <row r="1247" ht="12.75">
      <c r="S1247" s="3"/>
    </row>
    <row r="1248" ht="12.75">
      <c r="S1248" s="3"/>
    </row>
    <row r="1249" ht="12.75">
      <c r="S1249" s="3"/>
    </row>
    <row r="1250" ht="12.75">
      <c r="S1250" s="3"/>
    </row>
    <row r="1251" ht="12.75">
      <c r="S1251" s="3"/>
    </row>
    <row r="1252" ht="12.75">
      <c r="S1252" s="3"/>
    </row>
    <row r="1253" ht="12.75">
      <c r="S1253" s="3"/>
    </row>
    <row r="1254" ht="12.75">
      <c r="S1254" s="3"/>
    </row>
    <row r="1255" ht="12.75">
      <c r="S1255" s="3"/>
    </row>
    <row r="1256" ht="12.75">
      <c r="S1256" s="3"/>
    </row>
    <row r="1257" ht="12.75">
      <c r="S1257" s="3"/>
    </row>
    <row r="1258" ht="12.75">
      <c r="S1258" s="3"/>
    </row>
    <row r="1259" ht="12.75">
      <c r="S1259" s="3"/>
    </row>
    <row r="1260" ht="12.75">
      <c r="S1260" s="3"/>
    </row>
    <row r="1261" ht="12.75">
      <c r="S1261" s="3"/>
    </row>
    <row r="1262" ht="12.75">
      <c r="S1262" s="3"/>
    </row>
    <row r="1263" ht="12.75">
      <c r="S1263" s="3"/>
    </row>
    <row r="1264" ht="12.75">
      <c r="S1264" s="3"/>
    </row>
    <row r="1265" ht="12.75">
      <c r="S1265" s="3"/>
    </row>
    <row r="1266" ht="12.75">
      <c r="S1266" s="3"/>
    </row>
    <row r="1267" ht="12.75">
      <c r="S1267" s="3"/>
    </row>
    <row r="1268" ht="12.75">
      <c r="S1268" s="3"/>
    </row>
    <row r="1269" ht="12.75">
      <c r="S1269" s="3"/>
    </row>
    <row r="1270" ht="12.75">
      <c r="S1270" s="3"/>
    </row>
    <row r="1271" ht="12.75">
      <c r="S1271" s="3"/>
    </row>
    <row r="1272" ht="12.75">
      <c r="S1272" s="3"/>
    </row>
    <row r="1273" ht="12.75">
      <c r="S1273" s="3"/>
    </row>
    <row r="1274" ht="12.75">
      <c r="S1274" s="3"/>
    </row>
    <row r="1275" ht="12.75">
      <c r="S1275" s="3"/>
    </row>
    <row r="1276" ht="12.75">
      <c r="S1276" s="3"/>
    </row>
    <row r="1277" ht="12.75">
      <c r="S1277" s="3"/>
    </row>
    <row r="1278" ht="12.75">
      <c r="S1278" s="3"/>
    </row>
    <row r="1279" ht="12.75">
      <c r="S1279" s="3"/>
    </row>
    <row r="1280" ht="12.75">
      <c r="S1280" s="3"/>
    </row>
    <row r="1281" ht="12.75">
      <c r="S1281" s="3"/>
    </row>
    <row r="1282" ht="12.75">
      <c r="S1282" s="3"/>
    </row>
    <row r="1283" ht="12.75">
      <c r="S1283" s="3"/>
    </row>
    <row r="1284" ht="12.75">
      <c r="S1284" s="3"/>
    </row>
    <row r="1285" ht="12.75">
      <c r="S1285" s="3"/>
    </row>
    <row r="1286" ht="12.75">
      <c r="S1286" s="3"/>
    </row>
    <row r="1287" ht="12.75">
      <c r="S1287" s="3"/>
    </row>
    <row r="1288" ht="12.75">
      <c r="S1288" s="3"/>
    </row>
    <row r="1289" ht="12.75">
      <c r="S1289" s="3"/>
    </row>
    <row r="1290" ht="12.75">
      <c r="S1290" s="3"/>
    </row>
    <row r="1291" ht="12.75">
      <c r="S1291" s="3"/>
    </row>
    <row r="1292" ht="12.75">
      <c r="S1292" s="3"/>
    </row>
    <row r="1293" ht="12.75">
      <c r="S1293" s="3"/>
    </row>
    <row r="1294" ht="12.75">
      <c r="S1294" s="3"/>
    </row>
    <row r="1295" ht="12.75">
      <c r="S1295" s="3"/>
    </row>
    <row r="1296" ht="12.75">
      <c r="S1296" s="3"/>
    </row>
    <row r="1297" ht="12.75">
      <c r="S1297" s="3"/>
    </row>
    <row r="1298" ht="12.75">
      <c r="S1298" s="3"/>
    </row>
    <row r="1299" ht="12.75">
      <c r="S1299" s="3"/>
    </row>
    <row r="1300" ht="12.75">
      <c r="S1300" s="3"/>
    </row>
    <row r="1301" ht="12.75">
      <c r="S1301" s="3"/>
    </row>
    <row r="1302" ht="12.75">
      <c r="S1302" s="3"/>
    </row>
    <row r="1303" ht="12.75">
      <c r="S1303" s="3"/>
    </row>
    <row r="1304" ht="12.75">
      <c r="S1304" s="3"/>
    </row>
    <row r="1305" ht="12.75">
      <c r="S1305" s="3"/>
    </row>
    <row r="1306" ht="12.75">
      <c r="S1306" s="3"/>
    </row>
    <row r="1307" ht="12.75">
      <c r="S1307" s="3"/>
    </row>
    <row r="1308" ht="12.75">
      <c r="S1308" s="3"/>
    </row>
    <row r="1309" ht="12.75">
      <c r="S1309" s="3"/>
    </row>
    <row r="1310" ht="12.75">
      <c r="S1310" s="3"/>
    </row>
    <row r="1311" ht="12.75">
      <c r="S1311" s="3"/>
    </row>
    <row r="1312" ht="12.75">
      <c r="S1312" s="3"/>
    </row>
    <row r="1313" ht="12.75">
      <c r="S1313" s="3"/>
    </row>
    <row r="1314" ht="12.75">
      <c r="S1314" s="3"/>
    </row>
    <row r="1315" ht="12.75">
      <c r="S1315" s="3"/>
    </row>
    <row r="1316" ht="12.75">
      <c r="S1316" s="3"/>
    </row>
    <row r="1317" ht="12.75">
      <c r="S1317" s="3"/>
    </row>
    <row r="1318" ht="12.75">
      <c r="S1318" s="3"/>
    </row>
    <row r="1319" ht="12.75">
      <c r="S1319" s="3"/>
    </row>
    <row r="1320" ht="12.75">
      <c r="S1320" s="3"/>
    </row>
    <row r="1321" ht="12.75">
      <c r="S1321" s="3"/>
    </row>
    <row r="1322" ht="12.75">
      <c r="S1322" s="3"/>
    </row>
    <row r="1323" ht="12.75">
      <c r="S1323" s="3"/>
    </row>
    <row r="1324" ht="12.75">
      <c r="S1324" s="3"/>
    </row>
    <row r="1325" ht="12.75">
      <c r="S1325" s="3"/>
    </row>
    <row r="1326" ht="12.75">
      <c r="S1326" s="3"/>
    </row>
    <row r="1327" ht="12.75">
      <c r="S1327" s="3"/>
    </row>
    <row r="1328" ht="12.75">
      <c r="S1328" s="3"/>
    </row>
    <row r="1329" ht="12.75">
      <c r="S1329" s="3"/>
    </row>
    <row r="1330" ht="12.75">
      <c r="S1330" s="3"/>
    </row>
    <row r="1331" ht="12.75">
      <c r="S1331" s="3"/>
    </row>
    <row r="1332" ht="12.75">
      <c r="S1332" s="3"/>
    </row>
    <row r="1333" ht="12.75">
      <c r="S1333" s="3"/>
    </row>
    <row r="1334" ht="12.75">
      <c r="S1334" s="3"/>
    </row>
    <row r="1335" ht="12.75">
      <c r="S1335" s="3"/>
    </row>
    <row r="1336" ht="12.75">
      <c r="S1336" s="3"/>
    </row>
    <row r="1337" ht="12.75">
      <c r="S1337" s="3"/>
    </row>
    <row r="1338" ht="12.75">
      <c r="S1338" s="3"/>
    </row>
    <row r="1339" ht="12.75">
      <c r="S1339" s="3"/>
    </row>
    <row r="1340" ht="12.75">
      <c r="S1340" s="3"/>
    </row>
    <row r="1341" ht="12.75">
      <c r="S1341" s="3"/>
    </row>
    <row r="1342" ht="12.75">
      <c r="S1342" s="3"/>
    </row>
    <row r="1343" ht="12.75">
      <c r="S1343" s="3"/>
    </row>
    <row r="1344" ht="12.75">
      <c r="S1344" s="3"/>
    </row>
    <row r="1345" ht="12.75">
      <c r="S1345" s="3"/>
    </row>
    <row r="1346" ht="12.75">
      <c r="S1346" s="3"/>
    </row>
    <row r="1347" ht="12.75">
      <c r="S1347" s="3"/>
    </row>
    <row r="1348" ht="12.75">
      <c r="S1348" s="3"/>
    </row>
    <row r="1349" ht="12.75">
      <c r="S1349" s="3"/>
    </row>
    <row r="1350" ht="12.75">
      <c r="S1350" s="3"/>
    </row>
    <row r="1351" ht="12.75">
      <c r="S1351" s="3"/>
    </row>
    <row r="1352" ht="12.75">
      <c r="S1352" s="3"/>
    </row>
    <row r="1353" ht="12.75">
      <c r="S1353" s="3"/>
    </row>
    <row r="1354" ht="12.75">
      <c r="S1354" s="3"/>
    </row>
    <row r="1355" ht="12.75">
      <c r="S1355" s="3"/>
    </row>
    <row r="1356" ht="12.75">
      <c r="S1356" s="3"/>
    </row>
    <row r="1357" ht="12.75">
      <c r="S1357" s="3"/>
    </row>
    <row r="1358" ht="12.75">
      <c r="S1358" s="3"/>
    </row>
    <row r="1359" ht="12.75">
      <c r="S1359" s="3"/>
    </row>
    <row r="1360" ht="12.75">
      <c r="S1360" s="3"/>
    </row>
    <row r="1361" ht="12.75">
      <c r="S1361" s="3"/>
    </row>
    <row r="1362" ht="12.75">
      <c r="S1362" s="3"/>
    </row>
    <row r="1363" ht="12.75">
      <c r="S1363" s="3"/>
    </row>
    <row r="1364" ht="12.75">
      <c r="S1364" s="3"/>
    </row>
    <row r="1365" ht="12.75">
      <c r="S1365" s="3"/>
    </row>
    <row r="1366" ht="12.75">
      <c r="S1366" s="3"/>
    </row>
    <row r="1367" ht="12.75">
      <c r="S1367" s="3"/>
    </row>
    <row r="1368" ht="12.75">
      <c r="S1368" s="3"/>
    </row>
    <row r="1369" ht="12.75">
      <c r="S1369" s="3"/>
    </row>
    <row r="1370" ht="12.75">
      <c r="S1370" s="3"/>
    </row>
    <row r="1371" ht="12.75">
      <c r="S1371" s="3"/>
    </row>
    <row r="1372" ht="12.75">
      <c r="S1372" s="3"/>
    </row>
    <row r="1373" ht="12.75">
      <c r="S1373" s="3"/>
    </row>
    <row r="1374" ht="12.75">
      <c r="S1374" s="3"/>
    </row>
    <row r="1375" ht="12.75">
      <c r="S1375" s="3"/>
    </row>
    <row r="1376" ht="12.75">
      <c r="S1376" s="3"/>
    </row>
    <row r="1377" ht="12.75">
      <c r="S1377" s="3"/>
    </row>
    <row r="1378" ht="12.75">
      <c r="S1378" s="3"/>
    </row>
    <row r="1379" ht="12.75">
      <c r="S1379" s="3"/>
    </row>
    <row r="1380" ht="12.75">
      <c r="S1380" s="3"/>
    </row>
    <row r="1381" ht="12.75">
      <c r="S1381" s="3"/>
    </row>
    <row r="1382" ht="12.75">
      <c r="S1382" s="3"/>
    </row>
    <row r="1383" ht="12.75">
      <c r="S1383" s="3"/>
    </row>
    <row r="1384" ht="12.75">
      <c r="S1384" s="3"/>
    </row>
    <row r="1385" ht="12.75">
      <c r="S1385" s="3"/>
    </row>
    <row r="1386" ht="12.75">
      <c r="S1386" s="3"/>
    </row>
    <row r="1387" ht="12.75">
      <c r="S1387" s="3"/>
    </row>
    <row r="1388" ht="12.75">
      <c r="S1388" s="3"/>
    </row>
    <row r="1389" ht="12.75">
      <c r="S1389" s="3"/>
    </row>
    <row r="1390" ht="12.75">
      <c r="S1390" s="3"/>
    </row>
    <row r="1391" ht="12.75">
      <c r="S1391" s="3"/>
    </row>
    <row r="1392" ht="12.75">
      <c r="S1392" s="3"/>
    </row>
    <row r="1393" ht="12.75">
      <c r="S1393" s="3"/>
    </row>
    <row r="1394" ht="12.75">
      <c r="S1394" s="3"/>
    </row>
    <row r="1395" ht="12.75">
      <c r="S1395" s="3"/>
    </row>
    <row r="1396" ht="12.75">
      <c r="S1396" s="3"/>
    </row>
    <row r="1397" ht="12.75">
      <c r="S1397" s="3"/>
    </row>
    <row r="1398" ht="12.75">
      <c r="S1398" s="3"/>
    </row>
    <row r="1399" ht="12.75">
      <c r="S1399" s="3"/>
    </row>
    <row r="1400" ht="12.75">
      <c r="S1400" s="3"/>
    </row>
    <row r="1401" ht="12.75">
      <c r="S1401" s="3"/>
    </row>
    <row r="1402" ht="12.75">
      <c r="S1402" s="3"/>
    </row>
    <row r="1403" ht="12.75">
      <c r="S1403" s="3"/>
    </row>
    <row r="1404" ht="12.75">
      <c r="S1404" s="3"/>
    </row>
    <row r="1405" ht="12.75">
      <c r="S1405" s="3"/>
    </row>
    <row r="1406" ht="12.75">
      <c r="S1406" s="3"/>
    </row>
    <row r="1407" ht="12.75">
      <c r="S1407" s="3"/>
    </row>
    <row r="1408" ht="12.75">
      <c r="S1408" s="3"/>
    </row>
    <row r="1409" ht="12.75">
      <c r="S1409" s="3"/>
    </row>
    <row r="1410" ht="12.75">
      <c r="S1410" s="3"/>
    </row>
    <row r="1411" ht="12.75">
      <c r="S1411" s="3"/>
    </row>
    <row r="1412" ht="12.75">
      <c r="S1412" s="3"/>
    </row>
    <row r="1413" ht="12.75">
      <c r="S1413" s="3"/>
    </row>
    <row r="1414" ht="12.75">
      <c r="S1414" s="3"/>
    </row>
    <row r="1415" ht="12.75">
      <c r="S1415" s="3"/>
    </row>
    <row r="1416" ht="12.75">
      <c r="S1416" s="3"/>
    </row>
    <row r="1417" ht="12.75">
      <c r="S1417" s="3"/>
    </row>
    <row r="1418" ht="12.75">
      <c r="S1418" s="3"/>
    </row>
    <row r="1419" ht="12.75">
      <c r="S1419" s="3"/>
    </row>
    <row r="1420" ht="12.75">
      <c r="S1420" s="3"/>
    </row>
    <row r="1421" ht="12.75">
      <c r="S1421" s="3"/>
    </row>
    <row r="1422" ht="12.75">
      <c r="S1422" s="3"/>
    </row>
    <row r="1423" ht="12.75">
      <c r="S1423" s="3"/>
    </row>
    <row r="1424" ht="12.75">
      <c r="S1424" s="3"/>
    </row>
    <row r="1425" ht="12.75">
      <c r="S1425" s="3"/>
    </row>
    <row r="1426" ht="12.75">
      <c r="S1426" s="3"/>
    </row>
    <row r="1427" ht="12.75">
      <c r="S1427" s="3"/>
    </row>
    <row r="1428" ht="12.75">
      <c r="S1428" s="3"/>
    </row>
    <row r="1429" ht="12.75">
      <c r="S1429" s="3"/>
    </row>
    <row r="1430" ht="12.75">
      <c r="S1430" s="3"/>
    </row>
    <row r="1431" ht="12.75">
      <c r="S1431" s="3"/>
    </row>
    <row r="1432" ht="12.75">
      <c r="S1432" s="3"/>
    </row>
    <row r="1433" ht="12.75">
      <c r="S1433" s="3"/>
    </row>
    <row r="1434" ht="12.75">
      <c r="S1434" s="3"/>
    </row>
    <row r="1435" ht="12.75">
      <c r="S1435" s="3"/>
    </row>
    <row r="1436" ht="12.75">
      <c r="S1436" s="3"/>
    </row>
    <row r="1437" ht="12.75">
      <c r="S1437" s="3"/>
    </row>
    <row r="1438" ht="12.75">
      <c r="S1438" s="3"/>
    </row>
    <row r="1439" ht="12.75">
      <c r="S1439" s="3"/>
    </row>
    <row r="1440" ht="12.75">
      <c r="S1440" s="3"/>
    </row>
    <row r="1441" ht="12.75">
      <c r="S1441" s="3"/>
    </row>
    <row r="1442" ht="12.75">
      <c r="S1442" s="3"/>
    </row>
    <row r="1443" ht="12.75">
      <c r="S1443" s="3"/>
    </row>
    <row r="1444" ht="12.75">
      <c r="S1444" s="3"/>
    </row>
    <row r="1445" ht="12.75">
      <c r="S1445" s="3"/>
    </row>
    <row r="1446" ht="12.75">
      <c r="S1446" s="3"/>
    </row>
    <row r="1447" ht="12.75">
      <c r="S1447" s="3"/>
    </row>
    <row r="1448" ht="12.75">
      <c r="S1448" s="3"/>
    </row>
    <row r="1449" ht="12.75">
      <c r="S1449" s="3"/>
    </row>
    <row r="1450" ht="12.75">
      <c r="S1450" s="3"/>
    </row>
    <row r="1451" ht="12.75">
      <c r="S1451" s="3"/>
    </row>
    <row r="1452" ht="12.75">
      <c r="S1452" s="3"/>
    </row>
    <row r="1453" ht="12.75">
      <c r="S1453" s="3"/>
    </row>
    <row r="1454" ht="12.75">
      <c r="S1454" s="3"/>
    </row>
    <row r="1455" ht="12.75">
      <c r="S1455" s="3"/>
    </row>
    <row r="1456" ht="12.75">
      <c r="S1456" s="3"/>
    </row>
    <row r="1457" ht="12.75">
      <c r="S1457" s="3"/>
    </row>
    <row r="1458" ht="12.75">
      <c r="S1458" s="3"/>
    </row>
    <row r="1459" ht="12.75">
      <c r="S1459" s="3"/>
    </row>
    <row r="1460" ht="12.75">
      <c r="S1460" s="3"/>
    </row>
    <row r="1461" ht="12.75">
      <c r="S1461" s="3"/>
    </row>
    <row r="1462" ht="12.75">
      <c r="S1462" s="3"/>
    </row>
    <row r="1463" ht="12.75">
      <c r="S1463" s="3"/>
    </row>
    <row r="1464" ht="12.75">
      <c r="S1464" s="3"/>
    </row>
    <row r="1465" ht="12.75">
      <c r="S1465" s="3"/>
    </row>
    <row r="1466" ht="12.75">
      <c r="S1466" s="3"/>
    </row>
    <row r="1467" ht="12.75">
      <c r="S1467" s="3"/>
    </row>
    <row r="1468" ht="12.75">
      <c r="S1468" s="3"/>
    </row>
    <row r="1469" ht="12.75">
      <c r="S1469" s="3"/>
    </row>
    <row r="1470" ht="12.75">
      <c r="S1470" s="3"/>
    </row>
    <row r="1471" ht="12.75">
      <c r="S1471" s="3"/>
    </row>
    <row r="1472" ht="12.75">
      <c r="S1472" s="3"/>
    </row>
    <row r="1473" ht="12.75">
      <c r="S1473" s="3"/>
    </row>
    <row r="1474" ht="12.75">
      <c r="S1474" s="3"/>
    </row>
    <row r="1475" ht="12.75">
      <c r="S1475" s="3"/>
    </row>
    <row r="1476" ht="12.75">
      <c r="S1476" s="3"/>
    </row>
    <row r="1477" ht="12.75">
      <c r="S1477" s="3"/>
    </row>
    <row r="1478" ht="12.75">
      <c r="S1478" s="3"/>
    </row>
    <row r="1479" ht="12.75">
      <c r="S1479" s="3"/>
    </row>
    <row r="1480" ht="12.75">
      <c r="S1480" s="3"/>
    </row>
    <row r="1481" ht="12.75">
      <c r="S1481" s="3"/>
    </row>
    <row r="1482" ht="12.75">
      <c r="S1482" s="3"/>
    </row>
    <row r="1483" ht="12.75">
      <c r="S1483" s="3"/>
    </row>
    <row r="1484" ht="12.75">
      <c r="S1484" s="3"/>
    </row>
    <row r="1485" ht="12.75">
      <c r="S1485" s="3"/>
    </row>
    <row r="1486" ht="12.75">
      <c r="S1486" s="3"/>
    </row>
    <row r="1487" ht="12.75">
      <c r="S1487" s="3"/>
    </row>
    <row r="1488" ht="12.75">
      <c r="S1488" s="3"/>
    </row>
    <row r="1489" ht="12.75">
      <c r="S1489" s="3"/>
    </row>
    <row r="1490" ht="12.75">
      <c r="S1490" s="3"/>
    </row>
    <row r="1491" ht="12.75">
      <c r="S1491" s="3"/>
    </row>
    <row r="1492" ht="12.75">
      <c r="S1492" s="3"/>
    </row>
    <row r="1493" ht="12.75">
      <c r="S1493" s="3"/>
    </row>
    <row r="1494" ht="12.75">
      <c r="S1494" s="3"/>
    </row>
    <row r="1495" ht="12.75">
      <c r="S1495" s="3"/>
    </row>
    <row r="1496" ht="12.75">
      <c r="S1496" s="3"/>
    </row>
    <row r="1497" ht="12.75">
      <c r="S1497" s="3"/>
    </row>
    <row r="1498" ht="12.75">
      <c r="S1498" s="3"/>
    </row>
    <row r="1499" ht="12.75">
      <c r="S1499" s="3"/>
    </row>
    <row r="1500" ht="12.75">
      <c r="S1500" s="3"/>
    </row>
    <row r="1501" ht="12.75">
      <c r="S1501" s="3"/>
    </row>
    <row r="1502" ht="12.75">
      <c r="S1502" s="3"/>
    </row>
    <row r="1503" ht="12.75">
      <c r="S1503" s="3"/>
    </row>
    <row r="1504" ht="12.75">
      <c r="S1504" s="3"/>
    </row>
    <row r="1505" ht="12.75">
      <c r="S1505" s="3"/>
    </row>
    <row r="1506" ht="12.75">
      <c r="S1506" s="3"/>
    </row>
    <row r="1507" ht="12.75">
      <c r="S1507" s="3"/>
    </row>
    <row r="1508" ht="12.75">
      <c r="S1508" s="3"/>
    </row>
    <row r="1509" ht="12.75">
      <c r="S1509" s="3"/>
    </row>
    <row r="1510" ht="12.75">
      <c r="S1510" s="3"/>
    </row>
    <row r="1511" ht="12.75">
      <c r="S1511" s="3"/>
    </row>
    <row r="1512" ht="12.75">
      <c r="S1512" s="3"/>
    </row>
    <row r="1513" ht="12.75">
      <c r="S1513" s="3"/>
    </row>
    <row r="1514" ht="12.75">
      <c r="S1514" s="3"/>
    </row>
    <row r="1515" ht="12.75">
      <c r="S1515" s="3"/>
    </row>
    <row r="1516" ht="12.75">
      <c r="S1516" s="3"/>
    </row>
    <row r="1517" ht="12.75">
      <c r="S1517" s="3"/>
    </row>
    <row r="1518" ht="12.75">
      <c r="S1518" s="3"/>
    </row>
    <row r="1519" ht="12.75">
      <c r="S1519" s="3"/>
    </row>
    <row r="1520" ht="12.75">
      <c r="S1520" s="3"/>
    </row>
    <row r="1521" ht="12.75">
      <c r="S1521" s="3"/>
    </row>
    <row r="1522" ht="12.75">
      <c r="S1522" s="3"/>
    </row>
    <row r="1523" ht="12.75">
      <c r="S1523" s="3"/>
    </row>
    <row r="1524" ht="12.75">
      <c r="S1524" s="3"/>
    </row>
    <row r="1525" ht="12.75">
      <c r="S1525" s="3"/>
    </row>
    <row r="1526" ht="12.75">
      <c r="S1526" s="3"/>
    </row>
    <row r="1527" ht="12.75">
      <c r="S1527" s="3"/>
    </row>
    <row r="1528" ht="12.75">
      <c r="S1528" s="3"/>
    </row>
    <row r="1529" ht="12.75">
      <c r="S1529" s="3"/>
    </row>
    <row r="1530" ht="12.75">
      <c r="S1530" s="3"/>
    </row>
    <row r="1531" ht="12.75">
      <c r="S1531" s="3"/>
    </row>
    <row r="1532" ht="12.75">
      <c r="S1532" s="3"/>
    </row>
    <row r="1533" ht="12.75">
      <c r="S1533" s="3"/>
    </row>
    <row r="1534" ht="12.75">
      <c r="S1534" s="3"/>
    </row>
    <row r="1535" ht="12.75">
      <c r="S1535" s="3"/>
    </row>
    <row r="1536" ht="12.75">
      <c r="S1536" s="3"/>
    </row>
    <row r="1537" ht="12.75">
      <c r="S1537" s="3"/>
    </row>
    <row r="1538" ht="12.75">
      <c r="S1538" s="3"/>
    </row>
    <row r="1539" ht="12.75">
      <c r="S1539" s="3"/>
    </row>
    <row r="1540" ht="12.75">
      <c r="S1540" s="3"/>
    </row>
    <row r="1541" ht="12.75">
      <c r="S1541" s="3"/>
    </row>
    <row r="1542" ht="12.75">
      <c r="S1542" s="3"/>
    </row>
    <row r="1543" ht="12.75">
      <c r="S1543" s="3"/>
    </row>
    <row r="1544" ht="12.75">
      <c r="S1544" s="3"/>
    </row>
    <row r="1545" ht="12.75">
      <c r="S1545" s="3"/>
    </row>
    <row r="1546" ht="12.75">
      <c r="S1546" s="3"/>
    </row>
    <row r="1547" ht="12.75">
      <c r="S1547" s="3"/>
    </row>
    <row r="1548" ht="12.75">
      <c r="S1548" s="3"/>
    </row>
    <row r="1549" ht="12.75">
      <c r="S1549" s="3"/>
    </row>
    <row r="1550" ht="12.75">
      <c r="S1550" s="3"/>
    </row>
    <row r="1551" ht="12.75">
      <c r="S1551" s="3"/>
    </row>
    <row r="1552" ht="12.75">
      <c r="S1552" s="3"/>
    </row>
    <row r="1553" ht="12.75">
      <c r="S1553" s="3"/>
    </row>
    <row r="1554" ht="12.75">
      <c r="S1554" s="3"/>
    </row>
    <row r="1555" ht="12.75">
      <c r="S1555" s="3"/>
    </row>
    <row r="1556" ht="12.75">
      <c r="S1556" s="3"/>
    </row>
    <row r="1557" ht="12.75">
      <c r="S1557" s="3"/>
    </row>
    <row r="1558" ht="12.75">
      <c r="S1558" s="3"/>
    </row>
    <row r="1559" ht="12.75">
      <c r="S1559" s="3"/>
    </row>
    <row r="1560" ht="12.75">
      <c r="S1560" s="3"/>
    </row>
    <row r="1561" ht="12.75">
      <c r="S1561" s="3"/>
    </row>
    <row r="1562" ht="12.75">
      <c r="S1562" s="3"/>
    </row>
    <row r="1563" ht="12.75">
      <c r="S1563" s="3"/>
    </row>
    <row r="1564" ht="12.75">
      <c r="S1564" s="3"/>
    </row>
    <row r="1565" ht="12.75">
      <c r="S1565" s="3"/>
    </row>
    <row r="1566" ht="12.75">
      <c r="S1566" s="3"/>
    </row>
    <row r="1567" ht="12.75">
      <c r="S1567" s="3"/>
    </row>
    <row r="1568" ht="12.75">
      <c r="S1568" s="3"/>
    </row>
    <row r="1569" ht="12.75">
      <c r="S1569" s="3"/>
    </row>
    <row r="1570" ht="12.75">
      <c r="S1570" s="3"/>
    </row>
    <row r="1571" ht="12.75">
      <c r="S1571" s="3"/>
    </row>
    <row r="1572" ht="12.75">
      <c r="S1572" s="3"/>
    </row>
    <row r="1573" ht="12.75">
      <c r="S1573" s="3"/>
    </row>
    <row r="1574" ht="12.75">
      <c r="S1574" s="3"/>
    </row>
    <row r="1575" ht="12.75">
      <c r="S1575" s="3"/>
    </row>
    <row r="1576" ht="12.75">
      <c r="S1576" s="3"/>
    </row>
    <row r="1577" ht="12.75">
      <c r="S1577" s="3"/>
    </row>
    <row r="1578" ht="12.75">
      <c r="S1578" s="3"/>
    </row>
    <row r="1579" ht="12.75">
      <c r="S1579" s="3"/>
    </row>
    <row r="1580" ht="12.75">
      <c r="S1580" s="3"/>
    </row>
    <row r="1581" ht="12.75">
      <c r="S1581" s="3"/>
    </row>
    <row r="1582" ht="12.75">
      <c r="S1582" s="3"/>
    </row>
    <row r="1583" ht="12.75">
      <c r="S1583" s="3"/>
    </row>
    <row r="1584" ht="12.75">
      <c r="S1584" s="3"/>
    </row>
    <row r="1585" ht="12.75">
      <c r="S1585" s="3"/>
    </row>
    <row r="1586" ht="12.75">
      <c r="S1586" s="3"/>
    </row>
    <row r="1587" ht="12.75">
      <c r="S1587" s="3"/>
    </row>
    <row r="1588" ht="12.75">
      <c r="S1588" s="3"/>
    </row>
    <row r="1589" ht="12.75">
      <c r="S1589" s="3"/>
    </row>
    <row r="1590" ht="12.75">
      <c r="S1590" s="3"/>
    </row>
    <row r="1591" ht="12.75">
      <c r="S1591" s="3"/>
    </row>
    <row r="1592" ht="12.75">
      <c r="S1592" s="3"/>
    </row>
    <row r="1593" ht="12.75">
      <c r="S1593" s="3"/>
    </row>
    <row r="1594" ht="12.75">
      <c r="S1594" s="3"/>
    </row>
    <row r="1595" ht="12.75">
      <c r="S1595" s="3"/>
    </row>
    <row r="1596" ht="12.75">
      <c r="S1596" s="3"/>
    </row>
    <row r="1597" ht="12.75">
      <c r="S1597" s="3"/>
    </row>
    <row r="1598" ht="12.75">
      <c r="S1598" s="3"/>
    </row>
    <row r="1599" ht="12.75">
      <c r="S1599" s="3"/>
    </row>
    <row r="1600" ht="12.75">
      <c r="S1600" s="3"/>
    </row>
    <row r="1601" ht="12.75">
      <c r="S1601" s="3"/>
    </row>
    <row r="1602" ht="12.75">
      <c r="S1602" s="3"/>
    </row>
    <row r="1603" ht="12.75">
      <c r="S1603" s="3"/>
    </row>
    <row r="1604" ht="12.75">
      <c r="S1604" s="3"/>
    </row>
    <row r="1605" ht="12.75">
      <c r="S1605" s="3"/>
    </row>
    <row r="1606" ht="12.75">
      <c r="S1606" s="3"/>
    </row>
    <row r="1607" ht="12.75">
      <c r="S1607" s="3"/>
    </row>
    <row r="1608" ht="12.75">
      <c r="S1608" s="3"/>
    </row>
    <row r="1609" ht="12.75">
      <c r="S1609" s="3"/>
    </row>
    <row r="1610" ht="12.75">
      <c r="S1610" s="3"/>
    </row>
    <row r="1611" ht="12.75">
      <c r="S1611" s="3"/>
    </row>
    <row r="1612" ht="12.75">
      <c r="S1612" s="3"/>
    </row>
    <row r="1613" ht="12.75">
      <c r="S1613" s="3"/>
    </row>
    <row r="1614" ht="12.75">
      <c r="S1614" s="3"/>
    </row>
    <row r="1615" ht="12.75">
      <c r="S1615" s="3"/>
    </row>
    <row r="1616" ht="12.75">
      <c r="S1616" s="3"/>
    </row>
    <row r="1617" ht="12.75">
      <c r="S1617" s="3"/>
    </row>
    <row r="1618" ht="12.75">
      <c r="S1618" s="3"/>
    </row>
    <row r="1619" ht="12.75">
      <c r="S1619" s="3"/>
    </row>
    <row r="1620" ht="12.75">
      <c r="S1620" s="3"/>
    </row>
    <row r="1621" ht="12.75">
      <c r="S1621" s="3"/>
    </row>
    <row r="1622" ht="12.75">
      <c r="S1622" s="3"/>
    </row>
    <row r="1623" ht="12.75">
      <c r="S1623" s="3"/>
    </row>
    <row r="1624" ht="12.75">
      <c r="S1624" s="3"/>
    </row>
    <row r="1625" ht="12.75">
      <c r="S1625" s="3"/>
    </row>
    <row r="1626" ht="12.75">
      <c r="S1626" s="3"/>
    </row>
    <row r="1627" ht="12.75">
      <c r="S1627" s="3"/>
    </row>
    <row r="1628" ht="12.75">
      <c r="S1628" s="3"/>
    </row>
    <row r="1629" ht="12.75">
      <c r="S1629" s="3"/>
    </row>
    <row r="1630" ht="12.75">
      <c r="S1630" s="3"/>
    </row>
    <row r="1631" ht="12.75">
      <c r="S1631" s="3"/>
    </row>
    <row r="1632" ht="12.75">
      <c r="S1632" s="3"/>
    </row>
    <row r="1633" ht="12.75">
      <c r="S1633" s="3"/>
    </row>
    <row r="1634" ht="12.75">
      <c r="S1634" s="3"/>
    </row>
    <row r="1635" ht="12.75">
      <c r="S1635" s="3"/>
    </row>
    <row r="1636" ht="12.75">
      <c r="S1636" s="3"/>
    </row>
    <row r="1637" ht="12.75">
      <c r="S1637" s="3"/>
    </row>
    <row r="1638" ht="12.75">
      <c r="S1638" s="3"/>
    </row>
    <row r="1639" ht="12.75">
      <c r="S1639" s="3"/>
    </row>
    <row r="1640" ht="12.75">
      <c r="S1640" s="3"/>
    </row>
    <row r="1641" ht="12.75">
      <c r="S1641" s="3"/>
    </row>
    <row r="1642" ht="12.75">
      <c r="S1642" s="3"/>
    </row>
    <row r="1643" ht="12.75">
      <c r="S1643" s="3"/>
    </row>
    <row r="1644" ht="12.75">
      <c r="S1644" s="3"/>
    </row>
    <row r="1645" ht="12.75">
      <c r="S1645" s="3"/>
    </row>
    <row r="1646" ht="12.75">
      <c r="S1646" s="3"/>
    </row>
    <row r="1647" ht="12.75">
      <c r="S1647" s="3"/>
    </row>
    <row r="1648" ht="12.75">
      <c r="S1648" s="3"/>
    </row>
    <row r="1649" ht="12.75">
      <c r="S1649" s="3"/>
    </row>
    <row r="1650" ht="12.75">
      <c r="S1650" s="3"/>
    </row>
    <row r="1651" ht="12.75">
      <c r="S1651" s="3"/>
    </row>
    <row r="1652" ht="12.75">
      <c r="S1652" s="3"/>
    </row>
    <row r="1653" ht="12.75">
      <c r="S1653" s="3"/>
    </row>
    <row r="1654" ht="12.75">
      <c r="S1654" s="3"/>
    </row>
    <row r="1655" ht="12.75">
      <c r="S1655" s="3"/>
    </row>
    <row r="1656" ht="12.75">
      <c r="S1656" s="3"/>
    </row>
    <row r="1657" ht="12.75">
      <c r="S1657" s="3"/>
    </row>
    <row r="1658" ht="12.75">
      <c r="S1658" s="3"/>
    </row>
    <row r="1659" ht="12.75">
      <c r="S1659" s="3"/>
    </row>
    <row r="1660" ht="12.75">
      <c r="S1660" s="3"/>
    </row>
    <row r="1661" ht="12.75">
      <c r="S1661" s="3"/>
    </row>
    <row r="1662" ht="12.75">
      <c r="S1662" s="3"/>
    </row>
    <row r="1663" ht="12.75">
      <c r="S1663" s="3"/>
    </row>
    <row r="1664" ht="12.75">
      <c r="S1664" s="3"/>
    </row>
    <row r="1665" ht="12.75">
      <c r="S1665" s="3"/>
    </row>
    <row r="1666" ht="12.75">
      <c r="S1666" s="3"/>
    </row>
    <row r="1667" ht="12.75">
      <c r="S1667" s="3"/>
    </row>
    <row r="1668" ht="12.75">
      <c r="S1668" s="3"/>
    </row>
    <row r="1669" ht="12.75">
      <c r="S1669" s="3"/>
    </row>
    <row r="1670" ht="12.75">
      <c r="S1670" s="3"/>
    </row>
    <row r="1671" ht="12.75">
      <c r="S1671" s="3"/>
    </row>
    <row r="1672" ht="12.75">
      <c r="S1672" s="3"/>
    </row>
    <row r="1673" ht="12.75">
      <c r="S1673" s="3"/>
    </row>
    <row r="1674" ht="12.75">
      <c r="S1674" s="3"/>
    </row>
    <row r="1675" ht="12.75">
      <c r="S1675" s="3"/>
    </row>
    <row r="1676" ht="12.75">
      <c r="S1676" s="3"/>
    </row>
    <row r="1677" ht="12.75">
      <c r="S1677" s="3"/>
    </row>
    <row r="1678" ht="12.75">
      <c r="S1678" s="3"/>
    </row>
    <row r="1679" ht="12.75">
      <c r="S1679" s="3"/>
    </row>
    <row r="1680" ht="12.75">
      <c r="S1680" s="3"/>
    </row>
    <row r="1681" ht="12.75">
      <c r="S1681" s="3"/>
    </row>
    <row r="1682" ht="12.75">
      <c r="S1682" s="3"/>
    </row>
    <row r="1683" ht="12.75">
      <c r="S1683" s="3"/>
    </row>
    <row r="1684" ht="12.75">
      <c r="S1684" s="3"/>
    </row>
    <row r="1685" ht="12.75">
      <c r="S1685" s="3"/>
    </row>
    <row r="1686" ht="12.75">
      <c r="S1686" s="3"/>
    </row>
    <row r="1687" ht="12.75">
      <c r="S1687" s="3"/>
    </row>
    <row r="1688" ht="12.75">
      <c r="S1688" s="3"/>
    </row>
    <row r="1689" ht="12.75">
      <c r="S1689" s="3"/>
    </row>
    <row r="1690" ht="12.75">
      <c r="S1690" s="3"/>
    </row>
    <row r="1691" ht="12.75">
      <c r="S1691" s="3"/>
    </row>
    <row r="1692" ht="12.75">
      <c r="S1692" s="3"/>
    </row>
    <row r="1693" ht="12.75">
      <c r="S1693" s="3"/>
    </row>
    <row r="1694" ht="12.75">
      <c r="S1694" s="3"/>
    </row>
    <row r="1695" ht="12.75">
      <c r="S1695" s="3"/>
    </row>
    <row r="1696" ht="12.75">
      <c r="S1696" s="3"/>
    </row>
    <row r="1697" ht="12.75">
      <c r="S1697" s="3"/>
    </row>
    <row r="1698" ht="12.75">
      <c r="S1698" s="3"/>
    </row>
    <row r="1699" ht="12.75">
      <c r="S1699" s="3"/>
    </row>
    <row r="1700" ht="12.75">
      <c r="S1700" s="3"/>
    </row>
    <row r="1701" ht="12.75">
      <c r="S1701" s="3"/>
    </row>
    <row r="1702" ht="12.75">
      <c r="S1702" s="3"/>
    </row>
    <row r="1703" ht="12.75">
      <c r="S1703" s="3"/>
    </row>
    <row r="1704" ht="12.75">
      <c r="S1704" s="3"/>
    </row>
    <row r="1705" ht="12.75">
      <c r="S1705" s="3"/>
    </row>
    <row r="1706" ht="12.75">
      <c r="S1706" s="3"/>
    </row>
    <row r="1707" ht="12.75">
      <c r="S1707" s="3"/>
    </row>
    <row r="1708" ht="12.75">
      <c r="S1708" s="3"/>
    </row>
    <row r="1709" ht="12.75">
      <c r="S1709" s="3"/>
    </row>
    <row r="1710" ht="12.75">
      <c r="S1710" s="3"/>
    </row>
    <row r="1711" ht="12.75">
      <c r="S1711" s="3"/>
    </row>
    <row r="1712" ht="12.75">
      <c r="S1712" s="3"/>
    </row>
    <row r="1713" ht="12.75">
      <c r="S1713" s="3"/>
    </row>
    <row r="1714" ht="12.75">
      <c r="S1714" s="3"/>
    </row>
    <row r="1715" ht="12.75">
      <c r="S1715" s="3"/>
    </row>
    <row r="1716" ht="12.75">
      <c r="S1716" s="3"/>
    </row>
    <row r="1717" ht="12.75">
      <c r="S1717" s="3"/>
    </row>
    <row r="1718" ht="12.75">
      <c r="S1718" s="3"/>
    </row>
    <row r="1719" ht="12.75">
      <c r="S1719" s="3"/>
    </row>
    <row r="1720" ht="12.75">
      <c r="S1720" s="3"/>
    </row>
    <row r="1721" ht="12.75">
      <c r="S1721" s="3"/>
    </row>
    <row r="1722" ht="12.75">
      <c r="S1722" s="3"/>
    </row>
    <row r="1723" ht="12.75">
      <c r="S1723" s="3"/>
    </row>
    <row r="1724" ht="12.75">
      <c r="S1724" s="3"/>
    </row>
    <row r="1725" ht="12.75">
      <c r="S1725" s="3"/>
    </row>
    <row r="1726" ht="12.75">
      <c r="S1726" s="3"/>
    </row>
    <row r="1727" ht="12.75">
      <c r="S1727" s="3"/>
    </row>
    <row r="1728" ht="12.75">
      <c r="S1728" s="3"/>
    </row>
    <row r="1729" ht="12.75">
      <c r="S1729" s="3"/>
    </row>
    <row r="1730" ht="12.75">
      <c r="S1730" s="3"/>
    </row>
    <row r="1731" ht="12.75">
      <c r="S1731" s="3"/>
    </row>
    <row r="1732" ht="12.75">
      <c r="S1732" s="3"/>
    </row>
    <row r="1733" ht="12.75">
      <c r="S1733" s="3"/>
    </row>
    <row r="1734" ht="12.75">
      <c r="S1734" s="3"/>
    </row>
    <row r="1735" ht="12.75">
      <c r="S1735" s="3"/>
    </row>
    <row r="1736" ht="12.75">
      <c r="S1736" s="3"/>
    </row>
    <row r="1737" ht="12.75">
      <c r="S1737" s="3"/>
    </row>
    <row r="1738" ht="12.75">
      <c r="S1738" s="3"/>
    </row>
    <row r="1739" ht="12.75">
      <c r="S1739" s="3"/>
    </row>
    <row r="1740" ht="12.75">
      <c r="S1740" s="3"/>
    </row>
    <row r="1741" ht="12.75">
      <c r="S1741" s="3"/>
    </row>
    <row r="1742" ht="12.75">
      <c r="S1742" s="3"/>
    </row>
    <row r="1743" ht="12.75">
      <c r="S1743" s="3"/>
    </row>
    <row r="1744" ht="12.75">
      <c r="S1744" s="3"/>
    </row>
    <row r="1745" ht="12.75">
      <c r="S1745" s="3"/>
    </row>
    <row r="1746" ht="12.75">
      <c r="S1746" s="3"/>
    </row>
    <row r="1747" ht="12.75">
      <c r="S1747" s="3"/>
    </row>
    <row r="1748" ht="12.75">
      <c r="S1748" s="3"/>
    </row>
    <row r="1749" ht="12.75">
      <c r="S1749" s="3"/>
    </row>
    <row r="1750" ht="12.75">
      <c r="S1750" s="3"/>
    </row>
    <row r="1751" ht="12.75">
      <c r="S1751" s="3"/>
    </row>
    <row r="1752" ht="12.75">
      <c r="S1752" s="3"/>
    </row>
    <row r="1753" ht="12.75">
      <c r="S1753" s="3"/>
    </row>
    <row r="1754" ht="12.75">
      <c r="S1754" s="3"/>
    </row>
    <row r="1755" ht="12.75">
      <c r="S1755" s="3"/>
    </row>
    <row r="1756" ht="12.75">
      <c r="S1756" s="3"/>
    </row>
    <row r="1757" ht="12.75">
      <c r="S1757" s="3"/>
    </row>
    <row r="1758" ht="12.75">
      <c r="S1758" s="3"/>
    </row>
    <row r="1759" ht="12.75">
      <c r="S1759" s="3"/>
    </row>
    <row r="1760" ht="12.75">
      <c r="S1760" s="3"/>
    </row>
    <row r="1761" ht="12.75">
      <c r="S1761" s="3"/>
    </row>
    <row r="1762" ht="12.75">
      <c r="S1762" s="3"/>
    </row>
    <row r="1763" ht="12.75">
      <c r="S1763" s="3"/>
    </row>
    <row r="1764" ht="12.75">
      <c r="S1764" s="3"/>
    </row>
    <row r="1765" ht="12.75">
      <c r="S1765" s="3"/>
    </row>
    <row r="1766" ht="12.75">
      <c r="S1766" s="3"/>
    </row>
    <row r="1767" ht="12.75">
      <c r="S1767" s="3"/>
    </row>
    <row r="1768" ht="12.75">
      <c r="S1768" s="3"/>
    </row>
    <row r="1769" ht="12.75">
      <c r="S1769" s="3"/>
    </row>
    <row r="1770" ht="12.75">
      <c r="S1770" s="3"/>
    </row>
    <row r="1771" ht="12.75">
      <c r="S1771" s="3"/>
    </row>
    <row r="1772" ht="12.75">
      <c r="S1772" s="3"/>
    </row>
    <row r="1773" ht="12.75">
      <c r="S1773" s="3"/>
    </row>
    <row r="1774" ht="12.75">
      <c r="S1774" s="3"/>
    </row>
    <row r="1775" ht="12.75">
      <c r="S1775" s="3"/>
    </row>
    <row r="1776" ht="12.75">
      <c r="S1776" s="3"/>
    </row>
    <row r="1777" ht="12.75">
      <c r="S1777" s="3"/>
    </row>
    <row r="1778" ht="12.75">
      <c r="S1778" s="3"/>
    </row>
    <row r="1779" ht="12.75">
      <c r="S1779" s="3"/>
    </row>
    <row r="1780" ht="12.75">
      <c r="S1780" s="3"/>
    </row>
    <row r="1781" ht="12.75">
      <c r="S1781" s="3"/>
    </row>
    <row r="1782" ht="12.75">
      <c r="S1782" s="3"/>
    </row>
    <row r="1783" ht="12.75">
      <c r="S1783" s="3"/>
    </row>
    <row r="1784" ht="12.75">
      <c r="S1784" s="3"/>
    </row>
    <row r="1785" ht="12.75">
      <c r="S1785" s="3"/>
    </row>
    <row r="1786" ht="12.75">
      <c r="S1786" s="3"/>
    </row>
    <row r="1787" ht="12.75">
      <c r="S1787" s="3"/>
    </row>
    <row r="1788" ht="12.75">
      <c r="S1788" s="3"/>
    </row>
    <row r="1789" ht="12.75">
      <c r="S1789" s="3"/>
    </row>
    <row r="1790" ht="12.75">
      <c r="S1790" s="3"/>
    </row>
    <row r="1791" ht="12.75">
      <c r="S1791" s="3"/>
    </row>
    <row r="1792" ht="12.75">
      <c r="S1792" s="3"/>
    </row>
    <row r="1793" ht="12.75">
      <c r="S1793" s="3"/>
    </row>
    <row r="1794" ht="12.75">
      <c r="S1794" s="3"/>
    </row>
    <row r="1795" ht="12.75">
      <c r="S1795" s="3"/>
    </row>
    <row r="1796" ht="12.75">
      <c r="S1796" s="3"/>
    </row>
    <row r="1797" ht="12.75">
      <c r="S1797" s="3"/>
    </row>
    <row r="1798" ht="12.75">
      <c r="S1798" s="3"/>
    </row>
    <row r="1799" ht="12.75">
      <c r="S1799" s="3"/>
    </row>
    <row r="1800" ht="12.75">
      <c r="S1800" s="3"/>
    </row>
    <row r="1801" ht="12.75">
      <c r="S1801" s="3"/>
    </row>
    <row r="1802" ht="12.75">
      <c r="S1802" s="3"/>
    </row>
    <row r="1803" ht="12.75">
      <c r="S1803" s="3"/>
    </row>
    <row r="1804" ht="12.75">
      <c r="S1804" s="3"/>
    </row>
    <row r="1805" ht="12.75">
      <c r="S1805" s="3"/>
    </row>
    <row r="1806" ht="12.75">
      <c r="S1806" s="3"/>
    </row>
    <row r="1807" ht="12.75">
      <c r="S1807" s="3"/>
    </row>
    <row r="1808" ht="12.75">
      <c r="S1808" s="3"/>
    </row>
    <row r="1809" ht="12.75">
      <c r="S1809" s="3"/>
    </row>
    <row r="1810" ht="12.75">
      <c r="S1810" s="3"/>
    </row>
    <row r="1811" ht="12.75">
      <c r="S1811" s="3"/>
    </row>
    <row r="1812" ht="12.75">
      <c r="S1812" s="3"/>
    </row>
    <row r="1813" ht="12.75">
      <c r="S1813" s="3"/>
    </row>
    <row r="1814" ht="12.75">
      <c r="S1814" s="3"/>
    </row>
    <row r="1815" ht="12.75">
      <c r="S1815" s="3"/>
    </row>
    <row r="1816" ht="12.75">
      <c r="S1816" s="3"/>
    </row>
    <row r="1817" ht="12.75">
      <c r="S1817" s="3"/>
    </row>
    <row r="1818" ht="12.75">
      <c r="S1818" s="3"/>
    </row>
    <row r="1819" ht="12.75">
      <c r="S1819" s="3"/>
    </row>
    <row r="1820" ht="12.75">
      <c r="S1820" s="3"/>
    </row>
    <row r="1821" ht="12.75">
      <c r="S1821" s="3"/>
    </row>
    <row r="1822" ht="12.75">
      <c r="S1822" s="3"/>
    </row>
    <row r="1823" ht="12.75">
      <c r="S1823" s="3"/>
    </row>
    <row r="1824" ht="12.75">
      <c r="S1824" s="3"/>
    </row>
    <row r="1825" ht="12.75">
      <c r="S1825" s="3"/>
    </row>
    <row r="1826" ht="12.75">
      <c r="S1826" s="3"/>
    </row>
    <row r="1827" ht="12.75">
      <c r="S1827" s="3"/>
    </row>
    <row r="1828" ht="12.75">
      <c r="S1828" s="3"/>
    </row>
    <row r="1829" ht="12.75">
      <c r="S1829" s="3"/>
    </row>
    <row r="1830" ht="12.75">
      <c r="S1830" s="3"/>
    </row>
    <row r="1831" ht="12.75">
      <c r="S1831" s="3"/>
    </row>
    <row r="1832" ht="12.75">
      <c r="S1832" s="3"/>
    </row>
    <row r="1833" ht="12.75">
      <c r="S1833" s="3"/>
    </row>
    <row r="1834" ht="12.75">
      <c r="S1834" s="3"/>
    </row>
    <row r="1835" ht="12.75">
      <c r="S1835" s="3"/>
    </row>
    <row r="1836" ht="12.75">
      <c r="S1836" s="3"/>
    </row>
    <row r="1837" ht="12.75">
      <c r="S1837" s="3"/>
    </row>
    <row r="1838" ht="12.75">
      <c r="S1838" s="3"/>
    </row>
    <row r="1839" ht="12.75">
      <c r="S1839" s="3"/>
    </row>
    <row r="1840" ht="12.75">
      <c r="S1840" s="3"/>
    </row>
    <row r="1841" ht="12.75">
      <c r="S1841" s="3"/>
    </row>
    <row r="1842" ht="12.75">
      <c r="S1842" s="3"/>
    </row>
    <row r="1843" ht="12.75">
      <c r="S1843" s="3"/>
    </row>
    <row r="1844" ht="12.75">
      <c r="S1844" s="3"/>
    </row>
    <row r="1845" ht="12.75">
      <c r="S1845" s="3"/>
    </row>
    <row r="1846" ht="12.75">
      <c r="S1846" s="3"/>
    </row>
    <row r="1847" ht="12.75">
      <c r="S1847" s="3"/>
    </row>
    <row r="1848" ht="12.75">
      <c r="S1848" s="3"/>
    </row>
    <row r="1849" ht="12.75">
      <c r="S1849" s="3"/>
    </row>
    <row r="1850" ht="12.75">
      <c r="S1850" s="3"/>
    </row>
    <row r="1851" ht="12.75">
      <c r="S1851" s="3"/>
    </row>
    <row r="1852" ht="12.75">
      <c r="S1852" s="3"/>
    </row>
    <row r="1853" ht="12.75">
      <c r="S1853" s="3"/>
    </row>
    <row r="1854" ht="12.75">
      <c r="S1854" s="3"/>
    </row>
    <row r="1855" ht="12.75">
      <c r="S1855" s="3"/>
    </row>
    <row r="1856" ht="12.75">
      <c r="S1856" s="3"/>
    </row>
    <row r="1857" ht="12.75">
      <c r="S1857" s="3"/>
    </row>
    <row r="1858" ht="12.75">
      <c r="S1858" s="3"/>
    </row>
    <row r="1859" ht="12.75">
      <c r="S1859" s="3"/>
    </row>
    <row r="1860" ht="12.75">
      <c r="S1860" s="3"/>
    </row>
    <row r="1861" ht="12.75">
      <c r="S1861" s="3"/>
    </row>
    <row r="1862" ht="12.75">
      <c r="S1862" s="3"/>
    </row>
    <row r="1863" ht="12.75">
      <c r="S1863" s="3"/>
    </row>
    <row r="1864" ht="12.75">
      <c r="S1864" s="3"/>
    </row>
    <row r="1865" ht="12.75">
      <c r="S1865" s="3"/>
    </row>
    <row r="1866" ht="12.75">
      <c r="S1866" s="3"/>
    </row>
    <row r="1867" ht="12.75">
      <c r="S1867" s="3"/>
    </row>
    <row r="1868" ht="12.75">
      <c r="S1868" s="3"/>
    </row>
    <row r="1869" ht="12.75">
      <c r="S1869" s="3"/>
    </row>
    <row r="1870" ht="12.75">
      <c r="S1870" s="3"/>
    </row>
    <row r="1871" ht="12.75">
      <c r="S1871" s="3"/>
    </row>
    <row r="1872" ht="12.75">
      <c r="S1872" s="3"/>
    </row>
    <row r="1873" ht="12.75">
      <c r="S1873" s="3"/>
    </row>
    <row r="1874" ht="12.75">
      <c r="S1874" s="3"/>
    </row>
    <row r="1875" ht="12.75">
      <c r="S1875" s="3"/>
    </row>
    <row r="1876" ht="12.75">
      <c r="S1876" s="3"/>
    </row>
    <row r="1877" ht="12.75">
      <c r="S1877" s="3"/>
    </row>
    <row r="1878" ht="12.75">
      <c r="S1878" s="3"/>
    </row>
    <row r="1879" ht="12.75">
      <c r="S1879" s="3"/>
    </row>
    <row r="1880" ht="12.75">
      <c r="S1880" s="3"/>
    </row>
    <row r="1881" ht="12.75">
      <c r="S1881" s="3"/>
    </row>
    <row r="1882" ht="12.75">
      <c r="S1882" s="3"/>
    </row>
    <row r="1883" ht="12.75">
      <c r="S1883" s="3"/>
    </row>
    <row r="1884" ht="12.75">
      <c r="S1884" s="3"/>
    </row>
    <row r="1885" ht="12.75">
      <c r="S1885" s="3"/>
    </row>
    <row r="1886" ht="12.75">
      <c r="S1886" s="3"/>
    </row>
    <row r="1887" ht="12.75">
      <c r="S1887" s="3"/>
    </row>
    <row r="1888" ht="12.75">
      <c r="S1888" s="3"/>
    </row>
    <row r="1889" ht="12.75">
      <c r="S1889" s="3"/>
    </row>
    <row r="1890" ht="12.75">
      <c r="S1890" s="3"/>
    </row>
    <row r="1891" ht="12.75">
      <c r="S1891" s="3"/>
    </row>
    <row r="1892" ht="12.75">
      <c r="S1892" s="3"/>
    </row>
    <row r="1893" ht="12.75">
      <c r="S1893" s="3"/>
    </row>
    <row r="1894" ht="12.75">
      <c r="S1894" s="3"/>
    </row>
    <row r="1895" ht="12.75">
      <c r="S1895" s="3"/>
    </row>
    <row r="1896" ht="12.75">
      <c r="S1896" s="3"/>
    </row>
    <row r="1897" ht="12.75">
      <c r="S1897" s="3"/>
    </row>
    <row r="1898" ht="12.75">
      <c r="S1898" s="3"/>
    </row>
    <row r="1899" ht="12.75">
      <c r="S1899" s="3"/>
    </row>
    <row r="1900" ht="12.75">
      <c r="S1900" s="3"/>
    </row>
    <row r="1901" ht="12.75">
      <c r="S1901" s="3"/>
    </row>
    <row r="1902" ht="12.75">
      <c r="S1902" s="3"/>
    </row>
    <row r="1903" ht="12.75">
      <c r="S1903" s="3"/>
    </row>
    <row r="1904" ht="12.75">
      <c r="S1904" s="3"/>
    </row>
    <row r="1905" ht="12.75">
      <c r="S1905" s="3"/>
    </row>
    <row r="1906" ht="12.75">
      <c r="S1906" s="3"/>
    </row>
    <row r="1907" ht="12.75">
      <c r="S1907" s="3"/>
    </row>
    <row r="1908" ht="12.75">
      <c r="S1908" s="3"/>
    </row>
    <row r="1909" ht="12.75">
      <c r="S1909" s="3"/>
    </row>
    <row r="1910" ht="12.75">
      <c r="S1910" s="3"/>
    </row>
    <row r="1911" ht="12.75">
      <c r="S1911" s="3"/>
    </row>
    <row r="1912" ht="12.75">
      <c r="S1912" s="3"/>
    </row>
    <row r="1913" ht="12.75">
      <c r="S1913" s="3"/>
    </row>
    <row r="1914" ht="12.75">
      <c r="S1914" s="3"/>
    </row>
    <row r="1915" ht="12.75">
      <c r="S1915" s="3"/>
    </row>
    <row r="1916" ht="12.75">
      <c r="S1916" s="3"/>
    </row>
    <row r="1917" ht="12.75">
      <c r="S1917" s="3"/>
    </row>
    <row r="1918" ht="12.75">
      <c r="S1918" s="3"/>
    </row>
    <row r="1919" ht="12.75">
      <c r="S1919" s="3"/>
    </row>
    <row r="1920" ht="12.75">
      <c r="S1920" s="3"/>
    </row>
    <row r="1921" ht="12.75">
      <c r="S1921" s="3"/>
    </row>
    <row r="1922" ht="12.75">
      <c r="S1922" s="3"/>
    </row>
    <row r="1923" ht="12.75">
      <c r="S1923" s="3"/>
    </row>
    <row r="1924" ht="12.75">
      <c r="S1924" s="3"/>
    </row>
    <row r="1925" ht="12.75">
      <c r="S1925" s="3"/>
    </row>
    <row r="1926" ht="12.75">
      <c r="S1926" s="3"/>
    </row>
    <row r="1927" ht="12.75">
      <c r="S1927" s="3"/>
    </row>
    <row r="1928" ht="12.75">
      <c r="S1928" s="3"/>
    </row>
    <row r="1929" ht="12.75">
      <c r="S1929" s="3"/>
    </row>
    <row r="1930" ht="12.75">
      <c r="S1930" s="3"/>
    </row>
    <row r="1931" ht="12.75">
      <c r="S1931" s="3"/>
    </row>
    <row r="1932" ht="12.75">
      <c r="S1932" s="3"/>
    </row>
    <row r="1933" ht="12.75">
      <c r="S1933" s="3"/>
    </row>
    <row r="1934" ht="12.75">
      <c r="S1934" s="3"/>
    </row>
    <row r="1935" ht="12.75">
      <c r="S1935" s="3"/>
    </row>
    <row r="1936" ht="12.75">
      <c r="S1936" s="3"/>
    </row>
    <row r="1937" ht="12.75">
      <c r="S1937" s="3"/>
    </row>
    <row r="1938" ht="12.75">
      <c r="S1938" s="3"/>
    </row>
    <row r="1939" ht="12.75">
      <c r="S1939" s="3"/>
    </row>
    <row r="1940" ht="12.75">
      <c r="S1940" s="3"/>
    </row>
    <row r="1941" ht="12.75">
      <c r="S1941" s="3"/>
    </row>
    <row r="1942" ht="12.75">
      <c r="S1942" s="3"/>
    </row>
    <row r="1943" ht="12.75">
      <c r="S1943" s="3"/>
    </row>
    <row r="1944" ht="12.75">
      <c r="S1944" s="3"/>
    </row>
    <row r="1945" ht="12.75">
      <c r="S1945" s="3"/>
    </row>
    <row r="1946" ht="12.75">
      <c r="S1946" s="3"/>
    </row>
    <row r="1947" ht="12.75">
      <c r="S1947" s="3"/>
    </row>
    <row r="1948" ht="12.75">
      <c r="S1948" s="3"/>
    </row>
    <row r="1949" ht="12.75">
      <c r="S1949" s="3"/>
    </row>
    <row r="1950" ht="12.75">
      <c r="S1950" s="3"/>
    </row>
    <row r="1951" ht="12.75">
      <c r="S1951" s="3"/>
    </row>
    <row r="1952" ht="12.75">
      <c r="S1952" s="3"/>
    </row>
    <row r="1953" ht="12.75">
      <c r="S1953" s="3"/>
    </row>
    <row r="1954" ht="12.75">
      <c r="S1954" s="3"/>
    </row>
    <row r="1955" ht="12.75">
      <c r="S1955" s="3"/>
    </row>
    <row r="1956" ht="12.75">
      <c r="S1956" s="3"/>
    </row>
    <row r="1957" ht="12.75">
      <c r="S1957" s="3"/>
    </row>
    <row r="1958" ht="12.75">
      <c r="S1958" s="3"/>
    </row>
    <row r="1959" ht="12.75">
      <c r="S1959" s="3"/>
    </row>
    <row r="1960" ht="12.75">
      <c r="S1960" s="3"/>
    </row>
    <row r="1961" ht="12.75">
      <c r="S1961" s="3"/>
    </row>
    <row r="1962" ht="12.75">
      <c r="S1962" s="3"/>
    </row>
    <row r="1963" ht="12.75">
      <c r="S1963" s="3"/>
    </row>
    <row r="1964" ht="12.75">
      <c r="S1964" s="3"/>
    </row>
    <row r="1965" ht="12.75">
      <c r="S1965" s="3"/>
    </row>
    <row r="1966" ht="12.75">
      <c r="S1966" s="3"/>
    </row>
    <row r="1967" ht="12.75">
      <c r="S1967" s="3"/>
    </row>
    <row r="1968" ht="12.75">
      <c r="S1968" s="3"/>
    </row>
    <row r="1969" ht="12.75">
      <c r="S1969" s="3"/>
    </row>
    <row r="1970" ht="12.75">
      <c r="S1970" s="3"/>
    </row>
    <row r="1971" ht="12.75">
      <c r="S1971" s="3"/>
    </row>
    <row r="1972" ht="12.75">
      <c r="S1972" s="3"/>
    </row>
    <row r="1973" ht="12.75">
      <c r="S1973" s="3"/>
    </row>
    <row r="1974" ht="12.75">
      <c r="S1974" s="3"/>
    </row>
    <row r="1975" ht="12.75">
      <c r="S1975" s="3"/>
    </row>
    <row r="1976" ht="12.75">
      <c r="S1976" s="3"/>
    </row>
    <row r="1977" ht="12.75">
      <c r="S1977" s="3"/>
    </row>
    <row r="1978" ht="12.75">
      <c r="S1978" s="3"/>
    </row>
    <row r="1979" ht="12.75">
      <c r="S1979" s="3"/>
    </row>
    <row r="1980" ht="12.75">
      <c r="S1980" s="3"/>
    </row>
    <row r="1981" ht="12.75">
      <c r="S1981" s="3"/>
    </row>
    <row r="1982" ht="12.75">
      <c r="S1982" s="3"/>
    </row>
    <row r="1983" ht="12.75">
      <c r="S1983" s="3"/>
    </row>
    <row r="1984" ht="12.75">
      <c r="S1984" s="3"/>
    </row>
    <row r="1985" ht="12.75">
      <c r="S1985" s="3"/>
    </row>
    <row r="1986" ht="12.75">
      <c r="S1986" s="3"/>
    </row>
    <row r="1987" ht="12.75">
      <c r="S1987" s="3"/>
    </row>
    <row r="1988" ht="12.75">
      <c r="S1988" s="3"/>
    </row>
    <row r="1989" ht="12.75">
      <c r="S1989" s="3"/>
    </row>
    <row r="1990" ht="12.75">
      <c r="S1990" s="3"/>
    </row>
    <row r="1991" ht="12.75">
      <c r="S1991" s="3"/>
    </row>
    <row r="1992" ht="12.75">
      <c r="S1992" s="3"/>
    </row>
    <row r="1993" ht="12.75">
      <c r="S1993" s="3"/>
    </row>
    <row r="1994" ht="12.75">
      <c r="S1994" s="3"/>
    </row>
    <row r="1995" ht="12.75">
      <c r="S1995" s="3"/>
    </row>
    <row r="1996" ht="12.75">
      <c r="S1996" s="3"/>
    </row>
    <row r="1997" ht="12.75">
      <c r="S1997" s="3"/>
    </row>
    <row r="1998" ht="12.75">
      <c r="S1998" s="3"/>
    </row>
    <row r="1999" ht="12.75">
      <c r="S1999" s="3"/>
    </row>
    <row r="2000" ht="12.75">
      <c r="S2000" s="3"/>
    </row>
    <row r="2001" ht="12.75">
      <c r="S2001" s="3"/>
    </row>
    <row r="2002" ht="12.75">
      <c r="S2002" s="3"/>
    </row>
    <row r="2003" ht="12.75">
      <c r="S2003" s="3"/>
    </row>
    <row r="2004" ht="12.75">
      <c r="S2004" s="3"/>
    </row>
    <row r="2005" ht="12.75">
      <c r="S2005" s="3"/>
    </row>
    <row r="2006" ht="12.75">
      <c r="S2006" s="3"/>
    </row>
    <row r="2007" ht="12.75">
      <c r="S2007" s="3"/>
    </row>
    <row r="2008" ht="12.75">
      <c r="S2008" s="3"/>
    </row>
    <row r="2009" ht="12.75">
      <c r="S2009" s="3"/>
    </row>
    <row r="2010" ht="12.75">
      <c r="S2010" s="3"/>
    </row>
    <row r="2011" ht="12.75">
      <c r="S2011" s="3"/>
    </row>
    <row r="2012" ht="12.75">
      <c r="S2012" s="3"/>
    </row>
    <row r="2013" ht="12.75">
      <c r="S2013" s="3"/>
    </row>
    <row r="2014" ht="12.75">
      <c r="S2014" s="3"/>
    </row>
    <row r="2015" ht="12.75">
      <c r="S2015" s="3"/>
    </row>
    <row r="2016" ht="12.75">
      <c r="S2016" s="3"/>
    </row>
    <row r="2017" ht="12.75">
      <c r="S2017" s="3"/>
    </row>
    <row r="2018" ht="12.75">
      <c r="S2018" s="3"/>
    </row>
    <row r="2019" ht="12.75">
      <c r="S2019" s="3"/>
    </row>
    <row r="2020" ht="12.75">
      <c r="S2020" s="3"/>
    </row>
    <row r="2021" ht="12.75">
      <c r="S2021" s="3"/>
    </row>
    <row r="2022" ht="12.75">
      <c r="S2022" s="3"/>
    </row>
    <row r="2023" ht="12.75">
      <c r="S2023" s="3"/>
    </row>
    <row r="2024" ht="12.75">
      <c r="S2024" s="3"/>
    </row>
    <row r="2025" ht="12.75">
      <c r="S2025" s="3"/>
    </row>
    <row r="2026" ht="12.75">
      <c r="S2026" s="3"/>
    </row>
    <row r="2027" ht="12.75">
      <c r="S2027" s="3"/>
    </row>
    <row r="2028" ht="12.75">
      <c r="S2028" s="3"/>
    </row>
    <row r="2029" ht="12.75">
      <c r="S2029" s="3"/>
    </row>
    <row r="2030" ht="12.75">
      <c r="S2030" s="3"/>
    </row>
    <row r="2031" ht="12.75">
      <c r="S2031" s="3"/>
    </row>
    <row r="2032" ht="12.75">
      <c r="S2032" s="3"/>
    </row>
    <row r="2033" ht="12.75">
      <c r="S2033" s="3"/>
    </row>
    <row r="2034" ht="12.75">
      <c r="S2034" s="3"/>
    </row>
    <row r="2035" ht="12.75">
      <c r="S2035" s="3"/>
    </row>
    <row r="2036" ht="12.75">
      <c r="S2036" s="3"/>
    </row>
    <row r="2037" ht="12.75">
      <c r="S2037" s="3"/>
    </row>
    <row r="2038" ht="12.75">
      <c r="S2038" s="3"/>
    </row>
    <row r="2039" ht="12.75">
      <c r="S2039" s="3"/>
    </row>
    <row r="2040" ht="12.75">
      <c r="S2040" s="3"/>
    </row>
    <row r="2041" ht="12.75">
      <c r="S2041" s="3"/>
    </row>
    <row r="2042" ht="12.75">
      <c r="S2042" s="3"/>
    </row>
    <row r="2043" ht="12.75">
      <c r="S2043" s="3"/>
    </row>
    <row r="2044" ht="12.75">
      <c r="S2044" s="3"/>
    </row>
    <row r="2045" ht="12.75">
      <c r="S2045" s="3"/>
    </row>
    <row r="2046" ht="12.75">
      <c r="S2046" s="3"/>
    </row>
    <row r="2047" ht="12.75">
      <c r="S2047" s="3"/>
    </row>
    <row r="2048" ht="12.75">
      <c r="S2048" s="3"/>
    </row>
    <row r="2049" ht="12.75">
      <c r="S2049" s="3"/>
    </row>
    <row r="2050" ht="12.75">
      <c r="S2050" s="3"/>
    </row>
    <row r="2051" ht="12.75">
      <c r="S2051" s="3"/>
    </row>
    <row r="2052" ht="12.75">
      <c r="S2052" s="3"/>
    </row>
    <row r="2053" ht="12.75">
      <c r="S2053" s="3"/>
    </row>
    <row r="2054" ht="12.75">
      <c r="S2054" s="3"/>
    </row>
    <row r="2055" ht="12.75">
      <c r="S2055" s="3"/>
    </row>
    <row r="2056" ht="12.75">
      <c r="S2056" s="3"/>
    </row>
    <row r="2057" ht="12.75">
      <c r="S2057" s="3"/>
    </row>
    <row r="2058" ht="12.75">
      <c r="S2058" s="3"/>
    </row>
    <row r="2059" ht="12.75">
      <c r="S2059" s="3"/>
    </row>
    <row r="2060" ht="12.75">
      <c r="S2060" s="3"/>
    </row>
    <row r="2061" ht="12.75">
      <c r="S2061" s="3"/>
    </row>
    <row r="2062" ht="12.75">
      <c r="S2062" s="3"/>
    </row>
    <row r="2063" ht="12.75">
      <c r="S2063" s="3"/>
    </row>
    <row r="2064" ht="12.75">
      <c r="S2064" s="3"/>
    </row>
    <row r="2065" ht="12.75">
      <c r="S2065" s="3"/>
    </row>
    <row r="2066" ht="12.75">
      <c r="S2066" s="3"/>
    </row>
    <row r="2067" ht="12.75">
      <c r="S2067" s="3"/>
    </row>
    <row r="2068" ht="12.75">
      <c r="S2068" s="3"/>
    </row>
    <row r="2069" ht="12.75">
      <c r="S2069" s="3"/>
    </row>
    <row r="2070" ht="12.75">
      <c r="S2070" s="3"/>
    </row>
    <row r="2071" ht="12.75">
      <c r="S2071" s="3"/>
    </row>
    <row r="2072" ht="12.75">
      <c r="S2072" s="3"/>
    </row>
    <row r="2073" ht="12.75">
      <c r="S2073" s="3"/>
    </row>
    <row r="2074" ht="12.75">
      <c r="S2074" s="3"/>
    </row>
    <row r="2075" ht="12.75">
      <c r="S2075" s="3"/>
    </row>
    <row r="2076" ht="12.75">
      <c r="S2076" s="3"/>
    </row>
    <row r="2077" ht="12.75">
      <c r="S2077" s="3"/>
    </row>
    <row r="2078" ht="12.75">
      <c r="S2078" s="3"/>
    </row>
    <row r="2079" ht="12.75">
      <c r="S2079" s="3"/>
    </row>
    <row r="2080" ht="12.75">
      <c r="S2080" s="3"/>
    </row>
    <row r="2081" ht="12.75">
      <c r="S2081" s="3"/>
    </row>
    <row r="2082" ht="12.75">
      <c r="S2082" s="3"/>
    </row>
    <row r="2083" ht="12.75">
      <c r="S2083" s="3"/>
    </row>
    <row r="2084" ht="12.75">
      <c r="S2084" s="3"/>
    </row>
    <row r="2085" ht="12.75">
      <c r="S2085" s="3"/>
    </row>
    <row r="2086" ht="12.75">
      <c r="S2086" s="3"/>
    </row>
    <row r="2087" ht="12.75">
      <c r="S2087" s="3"/>
    </row>
    <row r="2088" ht="12.75">
      <c r="S2088" s="3"/>
    </row>
    <row r="2089" ht="12.75">
      <c r="S2089" s="3"/>
    </row>
    <row r="2090" ht="12.75">
      <c r="S2090" s="3"/>
    </row>
    <row r="2091" ht="12.75">
      <c r="S2091" s="3"/>
    </row>
    <row r="2092" ht="12.75">
      <c r="S2092" s="3"/>
    </row>
    <row r="2093" ht="12.75">
      <c r="S2093" s="3"/>
    </row>
    <row r="2094" ht="12.75">
      <c r="S2094" s="3"/>
    </row>
    <row r="2095" ht="12.75">
      <c r="S2095" s="3"/>
    </row>
    <row r="2096" ht="12.75">
      <c r="S2096" s="3"/>
    </row>
    <row r="2097" ht="12.75">
      <c r="S2097" s="3"/>
    </row>
    <row r="2098" ht="12.75">
      <c r="S2098" s="3"/>
    </row>
    <row r="2099" ht="12.75">
      <c r="S2099" s="3"/>
    </row>
    <row r="2100" ht="12.75">
      <c r="S2100" s="3"/>
    </row>
    <row r="2101" ht="12.75">
      <c r="S2101" s="3"/>
    </row>
    <row r="2102" ht="12.75">
      <c r="S2102" s="3"/>
    </row>
    <row r="2103" ht="12.75">
      <c r="S2103" s="3"/>
    </row>
    <row r="2104" ht="12.75">
      <c r="S2104" s="3"/>
    </row>
    <row r="2105" ht="12.75">
      <c r="S2105" s="3"/>
    </row>
    <row r="2106" ht="12.75">
      <c r="S2106" s="3"/>
    </row>
    <row r="2107" ht="12.75">
      <c r="S2107" s="3"/>
    </row>
    <row r="2108" ht="12.75">
      <c r="S2108" s="3"/>
    </row>
    <row r="2109" ht="12.75">
      <c r="S2109" s="3"/>
    </row>
    <row r="2110" ht="12.75">
      <c r="S2110" s="3"/>
    </row>
    <row r="2111" ht="12.75">
      <c r="S2111" s="3"/>
    </row>
    <row r="2112" ht="12.75">
      <c r="S2112" s="3"/>
    </row>
    <row r="2113" ht="12.75">
      <c r="S2113" s="3"/>
    </row>
    <row r="2114" ht="12.75">
      <c r="S2114" s="3"/>
    </row>
    <row r="2115" ht="12.75">
      <c r="S2115" s="3"/>
    </row>
    <row r="2116" ht="12.75">
      <c r="S2116" s="3"/>
    </row>
    <row r="2117" ht="12.75">
      <c r="S2117" s="3"/>
    </row>
    <row r="2118" ht="12.75">
      <c r="S2118" s="3"/>
    </row>
    <row r="2119" ht="12.75">
      <c r="S2119" s="3"/>
    </row>
    <row r="2120" ht="12.75">
      <c r="S2120" s="3"/>
    </row>
    <row r="2121" ht="12.75">
      <c r="S2121" s="3"/>
    </row>
    <row r="2122" ht="12.75">
      <c r="S2122" s="3"/>
    </row>
    <row r="2123" ht="12.75">
      <c r="S2123" s="3"/>
    </row>
    <row r="2124" ht="12.75">
      <c r="S2124" s="3"/>
    </row>
    <row r="2125" ht="12.75">
      <c r="S2125" s="3"/>
    </row>
    <row r="2126" ht="12.75">
      <c r="S2126" s="3"/>
    </row>
    <row r="2127" ht="12.75">
      <c r="S2127" s="3"/>
    </row>
    <row r="2128" ht="12.75">
      <c r="S2128" s="3"/>
    </row>
    <row r="2129" ht="12.75">
      <c r="S2129" s="3"/>
    </row>
    <row r="2130" ht="12.75">
      <c r="S2130" s="3"/>
    </row>
    <row r="2131" ht="12.75">
      <c r="S2131" s="3"/>
    </row>
    <row r="2132" ht="12.75">
      <c r="S2132" s="3"/>
    </row>
    <row r="2133" ht="12.75">
      <c r="S2133" s="3"/>
    </row>
    <row r="2134" ht="12.75">
      <c r="S2134" s="3"/>
    </row>
    <row r="2135" ht="12.75">
      <c r="S2135" s="3"/>
    </row>
    <row r="2136" ht="12.75">
      <c r="S2136" s="3"/>
    </row>
    <row r="2137" ht="12.75">
      <c r="S2137" s="3"/>
    </row>
    <row r="2138" ht="12.75">
      <c r="S2138" s="3"/>
    </row>
    <row r="2139" ht="12.75">
      <c r="S2139" s="3"/>
    </row>
    <row r="2140" ht="12.75">
      <c r="S2140" s="3"/>
    </row>
    <row r="2141" ht="12.75">
      <c r="S2141" s="3"/>
    </row>
    <row r="2142" ht="12.75">
      <c r="S2142" s="3"/>
    </row>
    <row r="2143" ht="12.75">
      <c r="S2143" s="3"/>
    </row>
    <row r="2144" ht="12.75">
      <c r="S2144" s="3"/>
    </row>
    <row r="2145" ht="12.75">
      <c r="S2145" s="3"/>
    </row>
    <row r="2146" ht="12.75">
      <c r="S2146" s="3"/>
    </row>
    <row r="2147" ht="12.75">
      <c r="S2147" s="3"/>
    </row>
    <row r="2148" ht="12.75">
      <c r="S2148" s="3"/>
    </row>
    <row r="2149" ht="12.75">
      <c r="S2149" s="3"/>
    </row>
    <row r="2150" ht="12.75">
      <c r="S2150" s="3"/>
    </row>
    <row r="2151" ht="12.75">
      <c r="S2151" s="3"/>
    </row>
    <row r="2152" ht="12.75">
      <c r="S2152" s="3"/>
    </row>
    <row r="2153" ht="12.75">
      <c r="S2153" s="3"/>
    </row>
    <row r="2154" ht="12.75">
      <c r="S2154" s="3"/>
    </row>
    <row r="2155" ht="12.75">
      <c r="S2155" s="3"/>
    </row>
    <row r="2156" ht="12.75">
      <c r="S2156" s="3"/>
    </row>
    <row r="2157" ht="12.75">
      <c r="S2157" s="3"/>
    </row>
    <row r="2158" ht="12.75">
      <c r="S2158" s="3"/>
    </row>
    <row r="2159" ht="12.75">
      <c r="S2159" s="3"/>
    </row>
    <row r="2160" ht="12.75">
      <c r="S2160" s="3"/>
    </row>
    <row r="2161" ht="12.75">
      <c r="S2161" s="3"/>
    </row>
    <row r="2162" ht="12.75">
      <c r="S2162" s="3"/>
    </row>
    <row r="2163" ht="12.75">
      <c r="S2163" s="3"/>
    </row>
    <row r="2164" ht="12.75">
      <c r="S2164" s="3"/>
    </row>
    <row r="2165" ht="12.75">
      <c r="S2165" s="3"/>
    </row>
    <row r="2166" ht="12.75">
      <c r="S2166" s="3"/>
    </row>
    <row r="2167" ht="12.75">
      <c r="S2167" s="3"/>
    </row>
    <row r="2168" ht="12.75">
      <c r="S2168" s="3"/>
    </row>
    <row r="2169" ht="12.75">
      <c r="S2169" s="3"/>
    </row>
    <row r="2170" ht="12.75">
      <c r="S2170" s="3"/>
    </row>
    <row r="2171" ht="12.75">
      <c r="S2171" s="3"/>
    </row>
    <row r="2172" ht="12.75">
      <c r="S2172" s="3"/>
    </row>
    <row r="2173" ht="12.75">
      <c r="S2173" s="3"/>
    </row>
    <row r="2174" ht="12.75">
      <c r="S2174" s="3"/>
    </row>
    <row r="2175" ht="12.75">
      <c r="S2175" s="3"/>
    </row>
    <row r="2176" ht="12.75">
      <c r="S2176" s="3"/>
    </row>
    <row r="2177" ht="12.75">
      <c r="S2177" s="3"/>
    </row>
    <row r="2178" ht="12.75">
      <c r="S2178" s="3"/>
    </row>
    <row r="2179" ht="12.75">
      <c r="S2179" s="3"/>
    </row>
    <row r="2180" ht="12.75">
      <c r="S2180" s="3"/>
    </row>
    <row r="2181" ht="12.75">
      <c r="S2181" s="3"/>
    </row>
    <row r="2182" ht="12.75">
      <c r="S2182" s="3"/>
    </row>
    <row r="2183" ht="12.75">
      <c r="S2183" s="3"/>
    </row>
    <row r="2184" ht="12.75">
      <c r="S2184" s="3"/>
    </row>
    <row r="2185" ht="12.75">
      <c r="S2185" s="3"/>
    </row>
    <row r="2186" ht="12.75">
      <c r="S2186" s="3"/>
    </row>
    <row r="2187" ht="12.75">
      <c r="S2187" s="3"/>
    </row>
    <row r="2188" ht="12.75">
      <c r="S2188" s="3"/>
    </row>
    <row r="2189" ht="12.75">
      <c r="S2189" s="3"/>
    </row>
    <row r="2190" ht="12.75">
      <c r="S2190" s="3"/>
    </row>
    <row r="2191" ht="12.75">
      <c r="S2191" s="3"/>
    </row>
    <row r="2192" ht="12.75">
      <c r="S2192" s="3"/>
    </row>
    <row r="2193" ht="12.75">
      <c r="S2193" s="3"/>
    </row>
    <row r="2194" ht="12.75">
      <c r="S2194" s="3"/>
    </row>
    <row r="2195" ht="12.75">
      <c r="S2195" s="3"/>
    </row>
    <row r="2196" ht="12.75">
      <c r="S2196" s="3"/>
    </row>
    <row r="2197" ht="12.75">
      <c r="S2197" s="3"/>
    </row>
    <row r="2198" ht="12.75">
      <c r="S2198" s="3"/>
    </row>
    <row r="2199" ht="12.75">
      <c r="S2199" s="3"/>
    </row>
    <row r="2200" ht="12.75">
      <c r="S2200" s="3"/>
    </row>
    <row r="2201" ht="12.75">
      <c r="S2201" s="3"/>
    </row>
    <row r="2202" ht="12.75">
      <c r="S2202" s="3"/>
    </row>
    <row r="2203" ht="12.75">
      <c r="S2203" s="3"/>
    </row>
    <row r="2204" ht="12.75">
      <c r="S2204" s="3"/>
    </row>
    <row r="2205" ht="12.75">
      <c r="S2205" s="3"/>
    </row>
    <row r="2206" ht="12.75">
      <c r="S2206" s="3"/>
    </row>
    <row r="2207" ht="12.75">
      <c r="S2207" s="3"/>
    </row>
    <row r="2208" ht="12.75">
      <c r="S2208" s="3"/>
    </row>
    <row r="2209" ht="12.75">
      <c r="S2209" s="3"/>
    </row>
    <row r="2210" ht="12.75">
      <c r="S2210" s="3"/>
    </row>
    <row r="2211" ht="12.75">
      <c r="S2211" s="3"/>
    </row>
    <row r="2212" ht="12.75">
      <c r="S2212" s="3"/>
    </row>
    <row r="2213" ht="12.75">
      <c r="S2213" s="3"/>
    </row>
    <row r="2214" ht="12.75">
      <c r="S2214" s="3"/>
    </row>
    <row r="2215" ht="12.75">
      <c r="S2215" s="3"/>
    </row>
    <row r="2216" ht="12.75">
      <c r="S2216" s="3"/>
    </row>
    <row r="2217" ht="12.75">
      <c r="S2217" s="3"/>
    </row>
    <row r="2218" ht="12.75">
      <c r="S2218" s="3"/>
    </row>
    <row r="2219" ht="12.75">
      <c r="S2219" s="3"/>
    </row>
    <row r="2220" ht="12.75">
      <c r="S2220" s="3"/>
    </row>
    <row r="2221" ht="12.75">
      <c r="S2221" s="3"/>
    </row>
    <row r="2222" ht="12.75">
      <c r="S2222" s="3"/>
    </row>
    <row r="2223" ht="12.75">
      <c r="S2223" s="3"/>
    </row>
    <row r="2224" ht="12.75">
      <c r="S2224" s="3"/>
    </row>
    <row r="2225" ht="12.75">
      <c r="S2225" s="3"/>
    </row>
    <row r="2226" ht="12.75">
      <c r="S2226" s="3"/>
    </row>
    <row r="2227" ht="12.75">
      <c r="S2227" s="3"/>
    </row>
    <row r="2228" ht="12.75">
      <c r="S2228" s="3"/>
    </row>
    <row r="2229" ht="12.75">
      <c r="S2229" s="3"/>
    </row>
    <row r="2230" ht="12.75">
      <c r="S2230" s="3"/>
    </row>
    <row r="2231" ht="12.75">
      <c r="S2231" s="3"/>
    </row>
    <row r="2232" ht="12.75">
      <c r="S2232" s="3"/>
    </row>
    <row r="2233" ht="12.75">
      <c r="S2233" s="3"/>
    </row>
    <row r="2234" ht="12.75">
      <c r="S2234" s="3"/>
    </row>
    <row r="2235" ht="12.75">
      <c r="S2235" s="3"/>
    </row>
    <row r="2236" ht="12.75">
      <c r="S2236" s="3"/>
    </row>
    <row r="2237" ht="12.75">
      <c r="S2237" s="3"/>
    </row>
    <row r="2238" ht="12.75">
      <c r="S2238" s="3"/>
    </row>
    <row r="2239" ht="12.75">
      <c r="S2239" s="3"/>
    </row>
    <row r="2240" ht="12.75">
      <c r="S2240" s="3"/>
    </row>
    <row r="2241" ht="12.75">
      <c r="S2241" s="3"/>
    </row>
    <row r="2242" ht="12.75">
      <c r="S2242" s="3"/>
    </row>
    <row r="2243" ht="12.75">
      <c r="S2243" s="3"/>
    </row>
    <row r="2244" ht="12.75">
      <c r="S2244" s="3"/>
    </row>
    <row r="2245" ht="12.75">
      <c r="S2245" s="3"/>
    </row>
    <row r="2246" ht="12.75">
      <c r="S2246" s="3"/>
    </row>
    <row r="2247" ht="12.75">
      <c r="S2247" s="3"/>
    </row>
    <row r="2248" ht="12.75">
      <c r="S2248" s="3"/>
    </row>
    <row r="2249" ht="12.75">
      <c r="S2249" s="3"/>
    </row>
    <row r="2250" ht="12.75">
      <c r="S2250" s="3"/>
    </row>
    <row r="2251" ht="12.75">
      <c r="S2251" s="3"/>
    </row>
    <row r="2252" ht="12.75">
      <c r="S2252" s="3"/>
    </row>
    <row r="2253" ht="12.75">
      <c r="S2253" s="3"/>
    </row>
    <row r="2254" ht="12.75">
      <c r="S2254" s="3"/>
    </row>
    <row r="2255" ht="12.75">
      <c r="S2255" s="3"/>
    </row>
    <row r="2256" ht="12.75">
      <c r="S2256" s="3"/>
    </row>
    <row r="2257" ht="12.75">
      <c r="S2257" s="3"/>
    </row>
    <row r="2258" ht="12.75">
      <c r="S2258" s="3"/>
    </row>
    <row r="2259" ht="12.75">
      <c r="S2259" s="3"/>
    </row>
    <row r="2260" ht="12.75">
      <c r="S2260" s="3"/>
    </row>
    <row r="2261" ht="12.75">
      <c r="S2261" s="3"/>
    </row>
    <row r="2262" ht="12.75">
      <c r="S2262" s="3"/>
    </row>
    <row r="2263" ht="12.75">
      <c r="S2263" s="3"/>
    </row>
    <row r="2264" ht="12.75">
      <c r="S2264" s="3"/>
    </row>
    <row r="2265" ht="12.75">
      <c r="S2265" s="3"/>
    </row>
    <row r="2266" ht="12.75">
      <c r="S2266" s="3"/>
    </row>
    <row r="2267" ht="12.75">
      <c r="S2267" s="3"/>
    </row>
    <row r="2268" ht="12.75">
      <c r="S2268" s="3"/>
    </row>
    <row r="2269" ht="12.75">
      <c r="S2269" s="3"/>
    </row>
    <row r="2270" ht="12.75">
      <c r="S2270" s="3"/>
    </row>
    <row r="2271" ht="12.75">
      <c r="S2271" s="3"/>
    </row>
    <row r="2272" ht="12.75">
      <c r="S2272" s="3"/>
    </row>
    <row r="2273" ht="12.75">
      <c r="S2273" s="3"/>
    </row>
    <row r="2274" ht="12.75">
      <c r="S2274" s="3"/>
    </row>
    <row r="2275" ht="12.75">
      <c r="S2275" s="3"/>
    </row>
    <row r="2276" ht="12.75">
      <c r="S2276" s="3"/>
    </row>
    <row r="2277" ht="12.75">
      <c r="S2277" s="3"/>
    </row>
    <row r="2278" ht="12.75">
      <c r="S2278" s="3"/>
    </row>
    <row r="2279" ht="12.75">
      <c r="S2279" s="3"/>
    </row>
    <row r="2280" ht="12.75">
      <c r="S2280" s="3"/>
    </row>
    <row r="2281" ht="12.75">
      <c r="S2281" s="3"/>
    </row>
    <row r="2282" ht="12.75">
      <c r="S2282" s="3"/>
    </row>
    <row r="2283" ht="12.75">
      <c r="S2283" s="3"/>
    </row>
    <row r="2284" ht="12.75">
      <c r="S2284" s="3"/>
    </row>
    <row r="2285" ht="12.75">
      <c r="S2285" s="3"/>
    </row>
    <row r="2286" ht="12.75">
      <c r="S2286" s="3"/>
    </row>
    <row r="2287" ht="12.75">
      <c r="S2287" s="3"/>
    </row>
    <row r="2288" ht="12.75">
      <c r="S2288" s="3"/>
    </row>
    <row r="2289" ht="12.75">
      <c r="S2289" s="3"/>
    </row>
    <row r="2290" ht="12.75">
      <c r="S2290" s="3"/>
    </row>
    <row r="2291" ht="12.75">
      <c r="S2291" s="3"/>
    </row>
    <row r="2292" ht="12.75">
      <c r="S2292" s="3"/>
    </row>
    <row r="2293" ht="12.75">
      <c r="S2293" s="3"/>
    </row>
    <row r="2294" ht="12.75">
      <c r="S2294" s="3"/>
    </row>
    <row r="2295" ht="12.75">
      <c r="S2295" s="3"/>
    </row>
    <row r="2296" ht="12.75">
      <c r="S2296" s="3"/>
    </row>
    <row r="2297" ht="12.75">
      <c r="S2297" s="3"/>
    </row>
    <row r="2298" ht="12.75">
      <c r="S2298" s="3"/>
    </row>
    <row r="2299" ht="12.75">
      <c r="S2299" s="3"/>
    </row>
    <row r="2300" ht="12.75">
      <c r="S2300" s="3"/>
    </row>
    <row r="2301" ht="12.75">
      <c r="S2301" s="3"/>
    </row>
    <row r="2302" ht="12.75">
      <c r="S2302" s="3"/>
    </row>
    <row r="2303" ht="12.75">
      <c r="S2303" s="3"/>
    </row>
    <row r="2304" ht="12.75">
      <c r="S2304" s="3"/>
    </row>
    <row r="2305" ht="12.75">
      <c r="S2305" s="3"/>
    </row>
    <row r="2306" ht="12.75">
      <c r="S2306" s="3"/>
    </row>
    <row r="2307" ht="12.75">
      <c r="S2307" s="3"/>
    </row>
    <row r="2308" ht="12.75">
      <c r="S2308" s="3"/>
    </row>
    <row r="2309" ht="12.75">
      <c r="S2309" s="3"/>
    </row>
    <row r="2310" ht="12.75">
      <c r="S2310" s="3"/>
    </row>
    <row r="2311" ht="12.75">
      <c r="S2311" s="3"/>
    </row>
    <row r="2312" ht="12.75">
      <c r="S2312" s="3"/>
    </row>
    <row r="2313" ht="12.75">
      <c r="S2313" s="3"/>
    </row>
    <row r="2314" ht="12.75">
      <c r="S2314" s="3"/>
    </row>
    <row r="2315" ht="12.75">
      <c r="S2315" s="3"/>
    </row>
    <row r="2316" ht="12.75">
      <c r="S2316" s="3"/>
    </row>
    <row r="2317" ht="12.75">
      <c r="S2317" s="3"/>
    </row>
    <row r="2318" ht="12.75">
      <c r="S2318" s="3"/>
    </row>
    <row r="2319" ht="12.75">
      <c r="S2319" s="3"/>
    </row>
    <row r="2320" ht="12.75">
      <c r="S2320" s="3"/>
    </row>
    <row r="2321" ht="12.75">
      <c r="S2321" s="3"/>
    </row>
    <row r="2322" ht="12.75">
      <c r="S2322" s="3"/>
    </row>
    <row r="2323" ht="12.75">
      <c r="S2323" s="3"/>
    </row>
    <row r="2324" ht="12.75">
      <c r="S2324" s="3"/>
    </row>
    <row r="2325" ht="12.75">
      <c r="S2325" s="3"/>
    </row>
    <row r="2326" ht="12.75">
      <c r="S2326" s="3"/>
    </row>
    <row r="2327" ht="12.75">
      <c r="S2327" s="3"/>
    </row>
    <row r="2328" ht="12.75">
      <c r="S2328" s="3"/>
    </row>
    <row r="2329" ht="12.75">
      <c r="S2329" s="3"/>
    </row>
    <row r="2330" ht="12.75">
      <c r="S2330" s="3"/>
    </row>
    <row r="2331" ht="12.75">
      <c r="S2331" s="3"/>
    </row>
    <row r="2332" ht="12.75">
      <c r="S2332" s="3"/>
    </row>
    <row r="2333" ht="12.75">
      <c r="S2333" s="3"/>
    </row>
    <row r="2334" ht="12.75">
      <c r="S2334" s="3"/>
    </row>
    <row r="2335" ht="12.75">
      <c r="S2335" s="3"/>
    </row>
    <row r="2336" ht="12.75">
      <c r="S2336" s="3"/>
    </row>
    <row r="2337" ht="12.75">
      <c r="S2337" s="3"/>
    </row>
    <row r="2338" ht="12.75">
      <c r="S2338" s="3"/>
    </row>
    <row r="2339" ht="12.75">
      <c r="S2339" s="3"/>
    </row>
    <row r="2340" ht="12.75">
      <c r="S2340" s="3"/>
    </row>
    <row r="2341" ht="12.75">
      <c r="S2341" s="3"/>
    </row>
    <row r="2342" ht="12.75">
      <c r="S2342" s="3"/>
    </row>
    <row r="2343" ht="12.75">
      <c r="S2343" s="3"/>
    </row>
    <row r="2344" ht="12.75">
      <c r="S2344" s="3"/>
    </row>
    <row r="2345" ht="12.75">
      <c r="S2345" s="3"/>
    </row>
    <row r="2346" ht="12.75">
      <c r="S2346" s="3"/>
    </row>
    <row r="2347" ht="12.75">
      <c r="S2347" s="3"/>
    </row>
    <row r="2348" ht="12.75">
      <c r="S2348" s="3"/>
    </row>
    <row r="2349" ht="12.75">
      <c r="S2349" s="3"/>
    </row>
    <row r="2350" ht="12.75">
      <c r="S2350" s="3"/>
    </row>
    <row r="2351" ht="12.75">
      <c r="S2351" s="3"/>
    </row>
    <row r="2352" ht="12.75">
      <c r="S2352" s="3"/>
    </row>
    <row r="2353" ht="12.75">
      <c r="S2353" s="3"/>
    </row>
    <row r="2354" ht="12.75">
      <c r="S2354" s="3"/>
    </row>
    <row r="2355" ht="12.75">
      <c r="S2355" s="3"/>
    </row>
    <row r="2356" ht="12.75">
      <c r="S2356" s="3"/>
    </row>
    <row r="2357" ht="12.75">
      <c r="S2357" s="3"/>
    </row>
    <row r="2358" ht="12.75">
      <c r="S2358" s="3"/>
    </row>
    <row r="2359" ht="12.75">
      <c r="S2359" s="3"/>
    </row>
    <row r="2360" ht="12.75">
      <c r="S2360" s="3"/>
    </row>
    <row r="2361" ht="12.75">
      <c r="S2361" s="3"/>
    </row>
    <row r="2362" ht="12.75">
      <c r="S2362" s="3"/>
    </row>
    <row r="2363" ht="12.75">
      <c r="S2363" s="3"/>
    </row>
    <row r="2364" ht="12.75">
      <c r="S2364" s="3"/>
    </row>
    <row r="2365" ht="12.75">
      <c r="S2365" s="3"/>
    </row>
    <row r="2366" ht="12.75">
      <c r="S2366" s="3"/>
    </row>
    <row r="2367" ht="12.75">
      <c r="S2367" s="3"/>
    </row>
    <row r="2368" ht="12.75">
      <c r="S2368" s="3"/>
    </row>
    <row r="2369" ht="12.75">
      <c r="S2369" s="3"/>
    </row>
    <row r="2370" ht="12.75">
      <c r="S2370" s="3"/>
    </row>
    <row r="2371" ht="12.75">
      <c r="S2371" s="3"/>
    </row>
    <row r="2372" ht="12.75">
      <c r="S2372" s="3"/>
    </row>
    <row r="2373" ht="12.75">
      <c r="S2373" s="3"/>
    </row>
    <row r="2374" ht="12.75">
      <c r="S2374" s="3"/>
    </row>
    <row r="2375" ht="12.75">
      <c r="S2375" s="3"/>
    </row>
    <row r="2376" ht="12.75">
      <c r="S2376" s="3"/>
    </row>
    <row r="2377" ht="12.75">
      <c r="S2377" s="3"/>
    </row>
    <row r="2378" ht="12.75">
      <c r="S2378" s="3"/>
    </row>
    <row r="2379" ht="12.75">
      <c r="S2379" s="3"/>
    </row>
    <row r="2380" ht="12.75">
      <c r="S2380" s="3"/>
    </row>
    <row r="2381" ht="12.75">
      <c r="S2381" s="3"/>
    </row>
    <row r="2382" ht="12.75">
      <c r="S2382" s="3"/>
    </row>
    <row r="2383" ht="12.75">
      <c r="S2383" s="3"/>
    </row>
    <row r="2384" ht="12.75">
      <c r="S2384" s="3"/>
    </row>
    <row r="2385" ht="12.75">
      <c r="S2385" s="3"/>
    </row>
    <row r="2386" ht="12.75">
      <c r="S2386" s="3"/>
    </row>
    <row r="2387" ht="12.75">
      <c r="S2387" s="3"/>
    </row>
    <row r="2388" ht="12.75">
      <c r="S2388" s="3"/>
    </row>
    <row r="2389" ht="12.75">
      <c r="S2389" s="3"/>
    </row>
    <row r="2390" ht="12.75">
      <c r="S2390" s="3"/>
    </row>
    <row r="2391" ht="12.75">
      <c r="S2391" s="3"/>
    </row>
    <row r="2392" ht="12.75">
      <c r="S2392" s="3"/>
    </row>
    <row r="2393" ht="12.75">
      <c r="S2393" s="3"/>
    </row>
    <row r="2394" ht="12.75">
      <c r="S2394" s="3"/>
    </row>
    <row r="2395" ht="12.75">
      <c r="S2395" s="3"/>
    </row>
    <row r="2396" ht="12.75">
      <c r="S2396" s="3"/>
    </row>
    <row r="2397" ht="12.75">
      <c r="S2397" s="3"/>
    </row>
    <row r="2398" ht="12.75">
      <c r="S2398" s="3"/>
    </row>
    <row r="2399" ht="12.75">
      <c r="S2399" s="3"/>
    </row>
    <row r="2400" ht="12.75">
      <c r="S2400" s="3"/>
    </row>
    <row r="2401" ht="12.75">
      <c r="S2401" s="3"/>
    </row>
    <row r="2402" ht="12.75">
      <c r="S2402" s="3"/>
    </row>
    <row r="2403" ht="12.75">
      <c r="S2403" s="3"/>
    </row>
    <row r="2404" ht="12.75">
      <c r="S2404" s="3"/>
    </row>
    <row r="2405" ht="12.75">
      <c r="S2405" s="3"/>
    </row>
    <row r="2406" ht="12.75">
      <c r="S2406" s="3"/>
    </row>
    <row r="2407" ht="12.75">
      <c r="S2407" s="3"/>
    </row>
    <row r="2408" ht="12.75">
      <c r="S2408" s="3"/>
    </row>
    <row r="2409" ht="12.75">
      <c r="S2409" s="3"/>
    </row>
    <row r="2410" ht="12.75">
      <c r="S2410" s="3"/>
    </row>
    <row r="2411" ht="12.75">
      <c r="S2411" s="3"/>
    </row>
    <row r="2412" ht="12.75">
      <c r="S2412" s="3"/>
    </row>
    <row r="2413" ht="12.75">
      <c r="S2413" s="3"/>
    </row>
    <row r="2414" ht="12.75">
      <c r="S2414" s="3"/>
    </row>
    <row r="2415" ht="12.75">
      <c r="S2415" s="3"/>
    </row>
    <row r="2416" ht="12.75">
      <c r="S2416" s="3"/>
    </row>
    <row r="2417" ht="12.75">
      <c r="S2417" s="3"/>
    </row>
    <row r="2418" ht="12.75">
      <c r="S2418" s="3"/>
    </row>
    <row r="2419" ht="12.75">
      <c r="S2419" s="3"/>
    </row>
    <row r="2420" ht="12.75">
      <c r="S2420" s="3"/>
    </row>
    <row r="2421" ht="12.75">
      <c r="S2421" s="3"/>
    </row>
    <row r="2422" ht="12.75">
      <c r="S2422" s="3"/>
    </row>
    <row r="2423" ht="12.75">
      <c r="S2423" s="3"/>
    </row>
    <row r="2424" ht="12.75">
      <c r="S2424" s="3"/>
    </row>
    <row r="2425" ht="12.75">
      <c r="S2425" s="3"/>
    </row>
    <row r="2426" ht="12.75">
      <c r="S2426" s="3"/>
    </row>
    <row r="2427" ht="12.75">
      <c r="S2427" s="3"/>
    </row>
    <row r="2428" ht="12.75">
      <c r="S2428" s="3"/>
    </row>
    <row r="2429" ht="12.75">
      <c r="S2429" s="3"/>
    </row>
    <row r="2430" ht="12.75">
      <c r="S2430" s="3"/>
    </row>
    <row r="2431" ht="12.75">
      <c r="S2431" s="3"/>
    </row>
    <row r="2432" ht="12.75">
      <c r="S2432" s="3"/>
    </row>
    <row r="2433" ht="12.75">
      <c r="S2433" s="3"/>
    </row>
    <row r="2434" ht="12.75">
      <c r="S2434" s="3"/>
    </row>
    <row r="2435" ht="12.75">
      <c r="S2435" s="3"/>
    </row>
    <row r="2436" ht="12.75">
      <c r="S2436" s="3"/>
    </row>
    <row r="2437" ht="12.75">
      <c r="S2437" s="3"/>
    </row>
    <row r="2438" ht="12.75">
      <c r="S2438" s="3"/>
    </row>
    <row r="2439" ht="12.75">
      <c r="S2439" s="3"/>
    </row>
    <row r="2440" ht="12.75">
      <c r="S2440" s="3"/>
    </row>
    <row r="2441" ht="12.75">
      <c r="S2441" s="3"/>
    </row>
    <row r="2442" ht="12.75">
      <c r="S2442" s="3"/>
    </row>
    <row r="2443" ht="12.75">
      <c r="S2443" s="3"/>
    </row>
    <row r="2444" ht="12.75">
      <c r="S2444" s="3"/>
    </row>
    <row r="2445" ht="12.75">
      <c r="S2445" s="3"/>
    </row>
    <row r="2446" ht="12.75">
      <c r="S2446" s="3"/>
    </row>
    <row r="2447" ht="12.75">
      <c r="S2447" s="3"/>
    </row>
    <row r="2448" ht="12.75">
      <c r="S2448" s="3"/>
    </row>
    <row r="2449" ht="12.75">
      <c r="S2449" s="3"/>
    </row>
    <row r="2450" ht="12.75">
      <c r="S2450" s="3"/>
    </row>
    <row r="2451" ht="12.75">
      <c r="S2451" s="3"/>
    </row>
    <row r="2452" ht="12.75">
      <c r="S2452" s="3"/>
    </row>
    <row r="2453" ht="12.75">
      <c r="S2453" s="3"/>
    </row>
    <row r="2454" ht="12.75">
      <c r="S2454" s="3"/>
    </row>
    <row r="2455" ht="12.75">
      <c r="S2455" s="3"/>
    </row>
    <row r="2456" ht="12.75">
      <c r="S2456" s="3"/>
    </row>
    <row r="2457" ht="12.75">
      <c r="S2457" s="3"/>
    </row>
    <row r="2458" ht="12.75">
      <c r="S2458" s="3"/>
    </row>
    <row r="2459" ht="12.75">
      <c r="S2459" s="3"/>
    </row>
    <row r="2460" ht="12.75">
      <c r="S2460" s="3"/>
    </row>
    <row r="2461" ht="12.75">
      <c r="S2461" s="3"/>
    </row>
    <row r="2462" ht="12.75">
      <c r="S2462" s="3"/>
    </row>
    <row r="2463" ht="12.75">
      <c r="S2463" s="3"/>
    </row>
    <row r="2464" ht="12.75">
      <c r="S2464" s="3"/>
    </row>
    <row r="2465" ht="12.75">
      <c r="S2465" s="3"/>
    </row>
    <row r="2466" ht="12.75">
      <c r="S2466" s="3"/>
    </row>
    <row r="2467" ht="12.75">
      <c r="S2467" s="3"/>
    </row>
    <row r="2468" ht="12.75">
      <c r="S2468" s="3"/>
    </row>
    <row r="2469" ht="12.75">
      <c r="S2469" s="3"/>
    </row>
    <row r="2470" ht="12.75">
      <c r="S2470" s="3"/>
    </row>
    <row r="2471" ht="12.75">
      <c r="S2471" s="3"/>
    </row>
    <row r="2472" ht="12.75">
      <c r="S2472" s="3"/>
    </row>
    <row r="2473" ht="12.75">
      <c r="S2473" s="3"/>
    </row>
    <row r="2474" ht="12.75">
      <c r="S2474" s="3"/>
    </row>
    <row r="2475" ht="12.75">
      <c r="S2475" s="3"/>
    </row>
    <row r="2476" ht="12.75">
      <c r="S2476" s="3"/>
    </row>
    <row r="2477" ht="12.75">
      <c r="S2477" s="3"/>
    </row>
    <row r="2478" ht="12.75">
      <c r="S2478" s="3"/>
    </row>
    <row r="2479" ht="12.75">
      <c r="S2479" s="3"/>
    </row>
    <row r="2480" ht="12.75">
      <c r="S2480" s="3"/>
    </row>
    <row r="2481" ht="12.75">
      <c r="S2481" s="3"/>
    </row>
    <row r="2482" ht="12.75">
      <c r="S2482" s="3"/>
    </row>
    <row r="2483" ht="12.75">
      <c r="S2483" s="3"/>
    </row>
    <row r="2484" ht="12.75">
      <c r="S2484" s="3"/>
    </row>
    <row r="2485" ht="12.75">
      <c r="S2485" s="3"/>
    </row>
    <row r="2486" ht="12.75">
      <c r="S2486" s="3"/>
    </row>
    <row r="2487" ht="12.75">
      <c r="S2487" s="3"/>
    </row>
    <row r="2488" ht="12.75">
      <c r="S2488" s="3"/>
    </row>
    <row r="2489" ht="12.75">
      <c r="S2489" s="3"/>
    </row>
    <row r="2490" ht="12.75">
      <c r="S2490" s="3"/>
    </row>
    <row r="2491" ht="12.75">
      <c r="S2491" s="3"/>
    </row>
    <row r="2492" ht="12.75">
      <c r="S2492" s="3"/>
    </row>
    <row r="2493" ht="12.75">
      <c r="S2493" s="3"/>
    </row>
    <row r="2494" ht="12.75">
      <c r="S2494" s="3"/>
    </row>
    <row r="2495" ht="12.75">
      <c r="S2495" s="3"/>
    </row>
    <row r="2496" ht="12.75">
      <c r="S2496" s="3"/>
    </row>
    <row r="2497" ht="12.75">
      <c r="S2497" s="3"/>
    </row>
    <row r="2498" ht="12.75">
      <c r="S2498" s="3"/>
    </row>
    <row r="2499" ht="12.75">
      <c r="S2499" s="3"/>
    </row>
    <row r="2500" ht="12.75">
      <c r="S2500" s="3"/>
    </row>
    <row r="2501" ht="12.75">
      <c r="S2501" s="3"/>
    </row>
    <row r="2502" ht="12.75">
      <c r="S2502" s="3"/>
    </row>
    <row r="2503" ht="12.75">
      <c r="S2503" s="3"/>
    </row>
    <row r="2504" ht="12.75">
      <c r="S2504" s="3"/>
    </row>
    <row r="2505" ht="12.75">
      <c r="S2505" s="3"/>
    </row>
    <row r="2506" ht="12.75">
      <c r="S2506" s="3"/>
    </row>
    <row r="2507" ht="12.75">
      <c r="S2507" s="3"/>
    </row>
    <row r="2508" ht="12.75">
      <c r="S2508" s="3"/>
    </row>
    <row r="2509" ht="12.75">
      <c r="S2509" s="3"/>
    </row>
    <row r="2510" ht="12.75">
      <c r="S2510" s="3"/>
    </row>
    <row r="2511" ht="12.75">
      <c r="S2511" s="3"/>
    </row>
    <row r="2512" ht="12.75">
      <c r="S2512" s="3"/>
    </row>
    <row r="2513" ht="12.75">
      <c r="S2513" s="3"/>
    </row>
    <row r="2514" ht="12.75">
      <c r="S2514" s="3"/>
    </row>
    <row r="2515" ht="12.75">
      <c r="S2515" s="3"/>
    </row>
    <row r="2516" ht="12.75">
      <c r="S2516" s="3"/>
    </row>
    <row r="2517" ht="12.75">
      <c r="S2517" s="3"/>
    </row>
    <row r="2518" ht="12.75">
      <c r="S2518" s="3"/>
    </row>
    <row r="2519" ht="12.75">
      <c r="S2519" s="3"/>
    </row>
    <row r="2520" ht="12.75">
      <c r="S2520" s="3"/>
    </row>
    <row r="2521" ht="12.75">
      <c r="S2521" s="3"/>
    </row>
    <row r="2522" ht="12.75">
      <c r="S2522" s="3"/>
    </row>
    <row r="2523" ht="12.75">
      <c r="S2523" s="3"/>
    </row>
    <row r="2524" ht="12.75">
      <c r="S2524" s="3"/>
    </row>
    <row r="2525" ht="12.75">
      <c r="S2525" s="3"/>
    </row>
    <row r="2526" ht="12.75">
      <c r="S2526" s="3"/>
    </row>
    <row r="2527" ht="12.75">
      <c r="S2527" s="3"/>
    </row>
    <row r="2528" ht="12.75">
      <c r="S2528" s="3"/>
    </row>
    <row r="2529" ht="12.75">
      <c r="S2529" s="3"/>
    </row>
    <row r="2530" ht="12.75">
      <c r="S2530" s="3"/>
    </row>
    <row r="2531" ht="12.75">
      <c r="S2531" s="3"/>
    </row>
    <row r="2532" ht="12.75">
      <c r="S2532" s="3"/>
    </row>
    <row r="2533" ht="12.75">
      <c r="S2533" s="3"/>
    </row>
    <row r="2534" ht="12.75">
      <c r="S2534" s="3"/>
    </row>
    <row r="2535" ht="12.75">
      <c r="S2535" s="3"/>
    </row>
    <row r="2536" ht="12.75">
      <c r="S2536" s="3"/>
    </row>
    <row r="2537" ht="12.75">
      <c r="S2537" s="3"/>
    </row>
    <row r="2538" ht="12.75">
      <c r="S2538" s="3"/>
    </row>
    <row r="2539" ht="12.75">
      <c r="S2539" s="3"/>
    </row>
    <row r="2540" ht="12.75">
      <c r="S2540" s="3"/>
    </row>
    <row r="2541" ht="12.75">
      <c r="S2541" s="3"/>
    </row>
    <row r="2542" ht="12.75">
      <c r="S2542" s="3"/>
    </row>
    <row r="2543" ht="12.75">
      <c r="S2543" s="3"/>
    </row>
    <row r="2544" ht="12.75">
      <c r="S2544" s="3"/>
    </row>
    <row r="2545" ht="12.75">
      <c r="S2545" s="3"/>
    </row>
    <row r="2546" ht="12.75">
      <c r="S2546" s="3"/>
    </row>
    <row r="2547" ht="12.75">
      <c r="S2547" s="3"/>
    </row>
    <row r="2548" ht="12.75">
      <c r="S2548" s="3"/>
    </row>
    <row r="2549" ht="12.75">
      <c r="S2549" s="3"/>
    </row>
    <row r="2550" ht="12.75">
      <c r="S2550" s="3"/>
    </row>
    <row r="2551" ht="12.75">
      <c r="S2551" s="3"/>
    </row>
    <row r="2552" ht="12.75">
      <c r="S2552" s="3"/>
    </row>
    <row r="2553" ht="12.75">
      <c r="S2553" s="3"/>
    </row>
    <row r="2554" ht="12.75">
      <c r="S2554" s="3"/>
    </row>
    <row r="2555" ht="12.75">
      <c r="S2555" s="3"/>
    </row>
    <row r="2556" ht="12.75">
      <c r="S2556" s="3"/>
    </row>
    <row r="2557" ht="12.75">
      <c r="S2557" s="3"/>
    </row>
    <row r="2558" ht="12.75">
      <c r="S2558" s="3"/>
    </row>
    <row r="2559" ht="12.75">
      <c r="S2559" s="3"/>
    </row>
    <row r="2560" ht="12.75">
      <c r="S2560" s="3"/>
    </row>
    <row r="2561" ht="12.75">
      <c r="S2561" s="3"/>
    </row>
    <row r="2562" ht="12.75">
      <c r="S2562" s="3"/>
    </row>
    <row r="2563" ht="12.75">
      <c r="S2563" s="3"/>
    </row>
    <row r="2564" ht="12.75">
      <c r="S2564" s="3"/>
    </row>
    <row r="2565" ht="12.75">
      <c r="S2565" s="3"/>
    </row>
    <row r="2566" ht="12.75">
      <c r="S2566" s="3"/>
    </row>
    <row r="2567" ht="12.75">
      <c r="S2567" s="3"/>
    </row>
    <row r="2568" ht="12.75">
      <c r="S2568" s="3"/>
    </row>
    <row r="2569" ht="12.75">
      <c r="S2569" s="3"/>
    </row>
    <row r="2570" ht="12.75">
      <c r="S2570" s="3"/>
    </row>
    <row r="2571" ht="12.75">
      <c r="S2571" s="3"/>
    </row>
    <row r="2572" ht="12.75">
      <c r="S2572" s="3"/>
    </row>
    <row r="2573" ht="12.75">
      <c r="S2573" s="3"/>
    </row>
    <row r="2574" ht="12.75">
      <c r="S2574" s="3"/>
    </row>
    <row r="2575" ht="12.75">
      <c r="S2575" s="3"/>
    </row>
    <row r="2576" ht="12.75">
      <c r="S2576" s="3"/>
    </row>
    <row r="2577" ht="12.75">
      <c r="S2577" s="3"/>
    </row>
    <row r="2578" ht="12.75">
      <c r="S2578" s="3"/>
    </row>
    <row r="2579" ht="12.75">
      <c r="S2579" s="3"/>
    </row>
    <row r="2580" ht="12.75">
      <c r="S2580" s="3"/>
    </row>
    <row r="2581" ht="12.75">
      <c r="S2581" s="3"/>
    </row>
    <row r="2582" ht="12.75">
      <c r="S2582" s="3"/>
    </row>
    <row r="2583" ht="12.75">
      <c r="S2583" s="3"/>
    </row>
    <row r="2584" ht="12.75">
      <c r="S2584" s="3"/>
    </row>
    <row r="2585" ht="12.75">
      <c r="S2585" s="3"/>
    </row>
    <row r="2586" ht="12.75">
      <c r="S2586" s="3"/>
    </row>
    <row r="2587" ht="12.75">
      <c r="S2587" s="3"/>
    </row>
    <row r="2588" ht="12.75">
      <c r="S2588" s="3"/>
    </row>
    <row r="2589" ht="12.75">
      <c r="S2589" s="3"/>
    </row>
    <row r="2590" ht="12.75">
      <c r="S2590" s="3"/>
    </row>
    <row r="2591" ht="12.75">
      <c r="S2591" s="3"/>
    </row>
    <row r="2592" ht="12.75">
      <c r="S2592" s="3"/>
    </row>
    <row r="2593" ht="12.75">
      <c r="S2593" s="3"/>
    </row>
    <row r="2594" ht="12.75">
      <c r="S2594" s="3"/>
    </row>
    <row r="2595" ht="12.75">
      <c r="S2595" s="3"/>
    </row>
    <row r="2596" ht="12.75">
      <c r="S2596" s="3"/>
    </row>
    <row r="2597" ht="12.75">
      <c r="S2597" s="3"/>
    </row>
    <row r="2598" ht="12.75">
      <c r="S2598" s="3"/>
    </row>
    <row r="2599" ht="12.75">
      <c r="S2599" s="3"/>
    </row>
    <row r="2600" ht="12.75">
      <c r="S2600" s="3"/>
    </row>
    <row r="2601" ht="12.75">
      <c r="S2601" s="3"/>
    </row>
    <row r="2602" ht="12.75">
      <c r="S2602" s="3"/>
    </row>
    <row r="2603" ht="12.75">
      <c r="S2603" s="3"/>
    </row>
    <row r="2604" ht="12.75">
      <c r="S2604" s="3"/>
    </row>
    <row r="2605" ht="12.75">
      <c r="S2605" s="3"/>
    </row>
    <row r="2606" ht="12.75">
      <c r="S2606" s="3"/>
    </row>
    <row r="2607" ht="12.75">
      <c r="S2607" s="3"/>
    </row>
    <row r="2608" ht="12.75">
      <c r="S2608" s="3"/>
    </row>
    <row r="2609" ht="12.75">
      <c r="S2609" s="3"/>
    </row>
    <row r="2610" ht="12.75">
      <c r="S2610" s="3"/>
    </row>
    <row r="2611" ht="12.75">
      <c r="S2611" s="3"/>
    </row>
    <row r="2612" ht="12.75">
      <c r="S2612" s="3"/>
    </row>
    <row r="2613" ht="12.75">
      <c r="S2613" s="3"/>
    </row>
    <row r="2614" ht="12.75">
      <c r="S2614" s="3"/>
    </row>
    <row r="2615" ht="12.75">
      <c r="S2615" s="3"/>
    </row>
    <row r="2616" ht="12.75">
      <c r="S2616" s="3"/>
    </row>
    <row r="2617" ht="12.75">
      <c r="S2617" s="3"/>
    </row>
    <row r="2618" ht="12.75">
      <c r="S2618" s="3"/>
    </row>
    <row r="2619" ht="12.75">
      <c r="S2619" s="3"/>
    </row>
    <row r="2620" ht="12.75">
      <c r="S2620" s="3"/>
    </row>
    <row r="2621" ht="12.75">
      <c r="S2621" s="3"/>
    </row>
    <row r="2622" ht="12.75">
      <c r="S2622" s="3"/>
    </row>
    <row r="2623" ht="12.75">
      <c r="S2623" s="3"/>
    </row>
    <row r="2624" ht="12.75">
      <c r="S2624" s="3"/>
    </row>
    <row r="2625" ht="12.75">
      <c r="S2625" s="3"/>
    </row>
    <row r="2626" ht="12.75">
      <c r="S2626" s="3"/>
    </row>
    <row r="2627" ht="12.75">
      <c r="S2627" s="3"/>
    </row>
    <row r="2628" ht="12.75">
      <c r="S2628" s="3"/>
    </row>
    <row r="2629" ht="12.75">
      <c r="S2629" s="3"/>
    </row>
    <row r="2630" ht="12.75">
      <c r="S2630" s="3"/>
    </row>
    <row r="2631" ht="12.75">
      <c r="S2631" s="3"/>
    </row>
    <row r="2632" ht="12.75">
      <c r="S2632" s="3"/>
    </row>
    <row r="2633" ht="12.75">
      <c r="S2633" s="3"/>
    </row>
    <row r="2634" ht="12.75">
      <c r="S2634" s="3"/>
    </row>
    <row r="2635" ht="12.75">
      <c r="S2635" s="3"/>
    </row>
    <row r="2636" ht="12.75">
      <c r="S2636" s="3"/>
    </row>
    <row r="2637" ht="12.75">
      <c r="S2637" s="3"/>
    </row>
    <row r="2638" ht="12.75">
      <c r="S2638" s="3"/>
    </row>
    <row r="2639" ht="12.75">
      <c r="S2639" s="3"/>
    </row>
    <row r="2640" ht="12.75">
      <c r="S2640" s="3"/>
    </row>
    <row r="2641" ht="12.75">
      <c r="S2641" s="3"/>
    </row>
    <row r="2642" ht="12.75">
      <c r="S2642" s="3"/>
    </row>
    <row r="2643" ht="12.75">
      <c r="S2643" s="3"/>
    </row>
    <row r="2644" ht="12.75">
      <c r="S2644" s="3"/>
    </row>
    <row r="2645" ht="12.75">
      <c r="S2645" s="3"/>
    </row>
    <row r="2646" ht="12.75">
      <c r="S2646" s="3"/>
    </row>
    <row r="2647" ht="12.75">
      <c r="S2647" s="3"/>
    </row>
    <row r="2648" ht="12.75">
      <c r="S2648" s="3"/>
    </row>
    <row r="2649" ht="12.75">
      <c r="S2649" s="3"/>
    </row>
    <row r="2650" ht="12.75">
      <c r="S2650" s="3"/>
    </row>
    <row r="2651" ht="12.75">
      <c r="S2651" s="3"/>
    </row>
    <row r="2652" ht="12.75">
      <c r="S2652" s="3"/>
    </row>
    <row r="2653" ht="12.75">
      <c r="S2653" s="3"/>
    </row>
    <row r="2654" ht="12.75">
      <c r="S2654" s="3"/>
    </row>
    <row r="2655" ht="12.75">
      <c r="S2655" s="3"/>
    </row>
    <row r="2656" ht="12.75">
      <c r="S2656" s="3"/>
    </row>
    <row r="2657" ht="12.75">
      <c r="S2657" s="3"/>
    </row>
    <row r="2658" ht="12.75">
      <c r="S2658" s="3"/>
    </row>
    <row r="2659" ht="12.75">
      <c r="S2659" s="3"/>
    </row>
    <row r="2660" ht="12.75">
      <c r="S2660" s="3"/>
    </row>
    <row r="2661" ht="12.75">
      <c r="S2661" s="3"/>
    </row>
    <row r="2662" ht="12.75">
      <c r="S2662" s="3"/>
    </row>
    <row r="2663" ht="12.75">
      <c r="S2663" s="3"/>
    </row>
    <row r="2664" ht="12.75">
      <c r="S2664" s="3"/>
    </row>
    <row r="2665" ht="12.75">
      <c r="S2665" s="3"/>
    </row>
    <row r="2666" ht="12.75">
      <c r="S2666" s="3"/>
    </row>
    <row r="2667" ht="12.75">
      <c r="S2667" s="3"/>
    </row>
    <row r="2668" ht="12.75">
      <c r="S2668" s="3"/>
    </row>
    <row r="2669" ht="12.75">
      <c r="S2669" s="3"/>
    </row>
    <row r="2670" ht="12.75">
      <c r="S2670" s="3"/>
    </row>
    <row r="2671" ht="12.75">
      <c r="S2671" s="3"/>
    </row>
    <row r="2672" ht="12.75">
      <c r="S2672" s="3"/>
    </row>
    <row r="2673" ht="12.75">
      <c r="S2673" s="3"/>
    </row>
    <row r="2674" ht="12.75">
      <c r="S2674" s="3"/>
    </row>
    <row r="2675" ht="12.75">
      <c r="S2675" s="3"/>
    </row>
    <row r="2676" ht="12.75">
      <c r="S2676" s="3"/>
    </row>
    <row r="2677" ht="12.75">
      <c r="S2677" s="3"/>
    </row>
    <row r="2678" ht="12.75">
      <c r="S2678" s="3"/>
    </row>
    <row r="2679" ht="12.75">
      <c r="S2679" s="3"/>
    </row>
    <row r="2680" ht="12.75">
      <c r="S2680" s="3"/>
    </row>
    <row r="2681" ht="12.75">
      <c r="S2681" s="3"/>
    </row>
    <row r="2682" ht="12.75">
      <c r="S2682" s="3"/>
    </row>
    <row r="2683" ht="12.75">
      <c r="S2683" s="3"/>
    </row>
    <row r="2684" ht="12.75">
      <c r="S2684" s="3"/>
    </row>
    <row r="2685" ht="12.75">
      <c r="S2685" s="3"/>
    </row>
    <row r="2686" ht="12.75">
      <c r="S2686" s="3"/>
    </row>
    <row r="2687" ht="12.75">
      <c r="S2687" s="3"/>
    </row>
    <row r="2688" ht="12.75">
      <c r="S2688" s="3"/>
    </row>
    <row r="2689" ht="12.75">
      <c r="S2689" s="3"/>
    </row>
    <row r="2690" ht="12.75">
      <c r="S2690" s="3"/>
    </row>
    <row r="2691" ht="12.75">
      <c r="S2691" s="3"/>
    </row>
    <row r="2692" ht="12.75">
      <c r="S2692" s="3"/>
    </row>
    <row r="2693" ht="12.75">
      <c r="S2693" s="3"/>
    </row>
    <row r="2694" ht="12.75">
      <c r="S2694" s="3"/>
    </row>
    <row r="2695" ht="12.75">
      <c r="S2695" s="3"/>
    </row>
    <row r="2696" ht="12.75">
      <c r="S2696" s="3"/>
    </row>
    <row r="2697" ht="12.75">
      <c r="S2697" s="3"/>
    </row>
    <row r="2698" ht="12.75">
      <c r="S2698" s="3"/>
    </row>
    <row r="2699" ht="12.75">
      <c r="S2699" s="3"/>
    </row>
    <row r="2700" ht="12.75">
      <c r="S2700" s="3"/>
    </row>
    <row r="2701" ht="12.75">
      <c r="S2701" s="3"/>
    </row>
    <row r="2702" ht="12.75">
      <c r="S2702" s="3"/>
    </row>
    <row r="2703" ht="12.75">
      <c r="S2703" s="3"/>
    </row>
    <row r="2704" ht="12.75">
      <c r="S2704" s="3"/>
    </row>
    <row r="2705" ht="12.75">
      <c r="S2705" s="3"/>
    </row>
    <row r="2706" ht="12.75">
      <c r="S2706" s="3"/>
    </row>
    <row r="2707" ht="12.75">
      <c r="S2707" s="3"/>
    </row>
    <row r="2708" ht="12.75">
      <c r="S2708" s="3"/>
    </row>
    <row r="2709" ht="12.75">
      <c r="S2709" s="3"/>
    </row>
    <row r="2710" ht="12.75">
      <c r="S2710" s="3"/>
    </row>
    <row r="2711" ht="12.75">
      <c r="S2711" s="3"/>
    </row>
    <row r="2712" ht="12.75">
      <c r="S2712" s="3"/>
    </row>
    <row r="2713" ht="12.75">
      <c r="S2713" s="3"/>
    </row>
    <row r="2714" ht="12.75">
      <c r="S2714" s="3"/>
    </row>
    <row r="2715" ht="12.75">
      <c r="S2715" s="3"/>
    </row>
    <row r="2716" ht="12.75">
      <c r="S2716" s="3"/>
    </row>
    <row r="2717" ht="12.75">
      <c r="S2717" s="3"/>
    </row>
    <row r="2718" ht="12.75">
      <c r="S2718" s="3"/>
    </row>
    <row r="2719" ht="12.75">
      <c r="S2719" s="3"/>
    </row>
    <row r="2720" ht="12.75">
      <c r="S2720" s="3"/>
    </row>
    <row r="2721" ht="12.75">
      <c r="S2721" s="3"/>
    </row>
    <row r="2722" ht="12.75">
      <c r="S2722" s="3"/>
    </row>
    <row r="2723" ht="12.75">
      <c r="S2723" s="3"/>
    </row>
    <row r="2724" ht="12.75">
      <c r="S2724" s="3"/>
    </row>
    <row r="2725" ht="12.75">
      <c r="S2725" s="3"/>
    </row>
    <row r="2726" ht="12.75">
      <c r="S2726" s="3"/>
    </row>
    <row r="2727" ht="12.75">
      <c r="S2727" s="3"/>
    </row>
    <row r="2728" ht="12.75">
      <c r="S2728" s="3"/>
    </row>
    <row r="2729" ht="12.75">
      <c r="S2729" s="3"/>
    </row>
    <row r="2730" ht="12.75">
      <c r="S2730" s="3"/>
    </row>
    <row r="2731" ht="12.75">
      <c r="S2731" s="3"/>
    </row>
    <row r="2732" ht="12.75">
      <c r="S2732" s="3"/>
    </row>
    <row r="2733" ht="12.75">
      <c r="S2733" s="3"/>
    </row>
    <row r="2734" ht="12.75">
      <c r="S2734" s="3"/>
    </row>
    <row r="2735" ht="12.75">
      <c r="S2735" s="3"/>
    </row>
    <row r="2736" ht="12.75">
      <c r="S2736" s="3"/>
    </row>
    <row r="2737" ht="12.75">
      <c r="S2737" s="3"/>
    </row>
    <row r="2738" ht="12.75">
      <c r="S2738" s="3"/>
    </row>
    <row r="2739" ht="12.75">
      <c r="S2739" s="3"/>
    </row>
    <row r="2740" ht="12.75">
      <c r="S2740" s="3"/>
    </row>
    <row r="2741" ht="12.75">
      <c r="S2741" s="3"/>
    </row>
    <row r="2742" ht="12.75">
      <c r="S2742" s="3"/>
    </row>
    <row r="2743" ht="12.75">
      <c r="S2743" s="3"/>
    </row>
    <row r="2744" ht="12.75">
      <c r="S2744" s="3"/>
    </row>
    <row r="2745" ht="12.75">
      <c r="S2745" s="3"/>
    </row>
    <row r="2746" ht="12.75">
      <c r="S2746" s="3"/>
    </row>
    <row r="2747" ht="12.75">
      <c r="S2747" s="3"/>
    </row>
    <row r="2748" ht="12.75">
      <c r="S2748" s="3"/>
    </row>
    <row r="2749" ht="12.75">
      <c r="S2749" s="3"/>
    </row>
    <row r="2750" ht="12.75">
      <c r="S2750" s="3"/>
    </row>
    <row r="2751" ht="12.75">
      <c r="S2751" s="3"/>
    </row>
    <row r="2752" ht="12.75">
      <c r="S2752" s="3"/>
    </row>
    <row r="2753" ht="12.75">
      <c r="S2753" s="3"/>
    </row>
    <row r="2754" ht="12.75">
      <c r="S2754" s="3"/>
    </row>
    <row r="2755" ht="12.75">
      <c r="S2755" s="3"/>
    </row>
    <row r="2756" ht="12.75">
      <c r="S2756" s="3"/>
    </row>
    <row r="2757" ht="12.75">
      <c r="S2757" s="3"/>
    </row>
    <row r="2758" ht="12.75">
      <c r="S2758" s="3"/>
    </row>
    <row r="2759" ht="12.75">
      <c r="S2759" s="3"/>
    </row>
    <row r="2760" ht="12.75">
      <c r="S2760" s="3"/>
    </row>
    <row r="2761" ht="12.75">
      <c r="S2761" s="3"/>
    </row>
    <row r="2762" ht="12.75">
      <c r="S2762" s="3"/>
    </row>
    <row r="2763" ht="12.75">
      <c r="S2763" s="3"/>
    </row>
    <row r="2764" ht="12.75">
      <c r="S2764" s="3"/>
    </row>
    <row r="2765" ht="12.75">
      <c r="S2765" s="3"/>
    </row>
    <row r="2766" ht="12.75">
      <c r="S2766" s="3"/>
    </row>
    <row r="2767" ht="12.75">
      <c r="S2767" s="3"/>
    </row>
    <row r="2768" ht="12.75">
      <c r="S2768" s="3"/>
    </row>
    <row r="2769" ht="12.75">
      <c r="S2769" s="3"/>
    </row>
    <row r="2770" ht="12.75">
      <c r="S2770" s="3"/>
    </row>
    <row r="2771" ht="12.75">
      <c r="S2771" s="3"/>
    </row>
    <row r="2772" ht="12.75">
      <c r="S2772" s="3"/>
    </row>
    <row r="2773" ht="12.75">
      <c r="S2773" s="3"/>
    </row>
    <row r="2774" ht="12.75">
      <c r="S2774" s="3"/>
    </row>
    <row r="2775" ht="12.75">
      <c r="S2775" s="3"/>
    </row>
    <row r="2776" ht="12.75">
      <c r="S2776" s="3"/>
    </row>
    <row r="2777" ht="12.75">
      <c r="S2777" s="3"/>
    </row>
    <row r="2778" ht="12.75">
      <c r="S2778" s="3"/>
    </row>
    <row r="2779" ht="12.75">
      <c r="S2779" s="3"/>
    </row>
    <row r="2780" ht="12.75">
      <c r="S2780" s="3"/>
    </row>
    <row r="2781" ht="12.75">
      <c r="S2781" s="3"/>
    </row>
    <row r="2782" ht="12.75">
      <c r="S2782" s="3"/>
    </row>
    <row r="2783" ht="12.75">
      <c r="S2783" s="3"/>
    </row>
    <row r="2784" ht="12.75">
      <c r="S2784" s="3"/>
    </row>
    <row r="2785" ht="12.75">
      <c r="S2785" s="3"/>
    </row>
    <row r="2786" ht="12.75">
      <c r="S2786" s="3"/>
    </row>
    <row r="2787" ht="12.75">
      <c r="S2787" s="3"/>
    </row>
    <row r="2788" ht="12.75">
      <c r="S2788" s="3"/>
    </row>
    <row r="2789" ht="12.75">
      <c r="S2789" s="3"/>
    </row>
    <row r="2790" ht="12.75">
      <c r="S2790" s="3"/>
    </row>
    <row r="2791" ht="12.75">
      <c r="S2791" s="3"/>
    </row>
    <row r="2792" ht="12.75">
      <c r="S2792" s="3"/>
    </row>
    <row r="2793" ht="12.75">
      <c r="S2793" s="3"/>
    </row>
    <row r="2794" ht="12.75">
      <c r="S2794" s="3"/>
    </row>
    <row r="2795" ht="12.75">
      <c r="S2795" s="3"/>
    </row>
    <row r="2796" ht="12.75">
      <c r="S2796" s="3"/>
    </row>
    <row r="2797" ht="12.75">
      <c r="S2797" s="3"/>
    </row>
    <row r="2798" ht="12.75">
      <c r="S2798" s="3"/>
    </row>
    <row r="2799" ht="12.75">
      <c r="S2799" s="3"/>
    </row>
    <row r="2800" ht="12.75">
      <c r="S2800" s="3"/>
    </row>
    <row r="2801" ht="12.75">
      <c r="S2801" s="3"/>
    </row>
    <row r="2802" ht="12.75">
      <c r="S2802" s="3"/>
    </row>
    <row r="2803" ht="12.75">
      <c r="S2803" s="3"/>
    </row>
    <row r="2804" ht="12.75">
      <c r="S2804" s="3"/>
    </row>
    <row r="2805" ht="12.75">
      <c r="S2805" s="3"/>
    </row>
    <row r="2806" ht="12.75">
      <c r="S2806" s="3"/>
    </row>
    <row r="2807" ht="12.75">
      <c r="S2807" s="3"/>
    </row>
    <row r="2808" ht="12.75">
      <c r="S2808" s="3"/>
    </row>
    <row r="2809" ht="12.75">
      <c r="S2809" s="3"/>
    </row>
    <row r="2810" ht="12.75">
      <c r="S2810" s="3"/>
    </row>
    <row r="2811" ht="12.75">
      <c r="S2811" s="3"/>
    </row>
    <row r="2812" ht="12.75">
      <c r="S2812" s="3"/>
    </row>
    <row r="2813" ht="12.75">
      <c r="S2813" s="3"/>
    </row>
    <row r="2814" ht="12.75">
      <c r="S2814" s="3"/>
    </row>
    <row r="2815" ht="12.75">
      <c r="S2815" s="3"/>
    </row>
    <row r="2816" ht="12.75">
      <c r="S2816" s="3"/>
    </row>
    <row r="2817" ht="12.75">
      <c r="S2817" s="3"/>
    </row>
    <row r="2818" ht="12.75">
      <c r="S2818" s="3"/>
    </row>
    <row r="2819" ht="12.75">
      <c r="S2819" s="3"/>
    </row>
    <row r="2820" ht="12.75">
      <c r="S2820" s="3"/>
    </row>
    <row r="2821" ht="12.75">
      <c r="S2821" s="3"/>
    </row>
    <row r="2822" ht="12.75">
      <c r="S2822" s="3"/>
    </row>
    <row r="2823" ht="12.75">
      <c r="S2823" s="3"/>
    </row>
    <row r="2824" ht="12.75">
      <c r="S2824" s="3"/>
    </row>
    <row r="2825" ht="12.75">
      <c r="S2825" s="3"/>
    </row>
    <row r="2826" ht="12.75">
      <c r="S2826" s="3"/>
    </row>
    <row r="2827" ht="12.75">
      <c r="S2827" s="3"/>
    </row>
    <row r="2828" ht="12.75">
      <c r="S2828" s="3"/>
    </row>
    <row r="2829" ht="12.75">
      <c r="S2829" s="3"/>
    </row>
    <row r="2830" ht="12.75">
      <c r="S2830" s="3"/>
    </row>
    <row r="2831" ht="12.75">
      <c r="S2831" s="3"/>
    </row>
    <row r="2832" ht="12.75">
      <c r="S2832" s="3"/>
    </row>
    <row r="2833" ht="12.75">
      <c r="S2833" s="3"/>
    </row>
    <row r="2834" ht="12.75">
      <c r="S2834" s="3"/>
    </row>
    <row r="2835" ht="12.75">
      <c r="S2835" s="3"/>
    </row>
    <row r="2836" ht="12.75">
      <c r="S2836" s="3"/>
    </row>
    <row r="2837" ht="12.75">
      <c r="S2837" s="3"/>
    </row>
    <row r="2838" ht="12.75">
      <c r="S2838" s="3"/>
    </row>
    <row r="2839" ht="12.75">
      <c r="S2839" s="3"/>
    </row>
    <row r="2840" ht="12.75">
      <c r="S2840" s="3"/>
    </row>
    <row r="2841" ht="12.75">
      <c r="S2841" s="3"/>
    </row>
    <row r="2842" ht="12.75">
      <c r="S2842" s="3"/>
    </row>
    <row r="2843" ht="12.75">
      <c r="S2843" s="3"/>
    </row>
    <row r="2844" ht="12.75">
      <c r="S2844" s="3"/>
    </row>
    <row r="2845" ht="12.75">
      <c r="S2845" s="3"/>
    </row>
    <row r="2846" ht="12.75">
      <c r="S2846" s="3"/>
    </row>
    <row r="2847" ht="12.75">
      <c r="S2847" s="3"/>
    </row>
    <row r="2848" ht="12.75">
      <c r="S2848" s="3"/>
    </row>
    <row r="2849" ht="12.75">
      <c r="S2849" s="3"/>
    </row>
    <row r="2850" ht="12.75">
      <c r="S2850" s="3"/>
    </row>
    <row r="2851" ht="12.75">
      <c r="S2851" s="3"/>
    </row>
    <row r="2852" ht="12.75">
      <c r="S2852" s="3"/>
    </row>
    <row r="2853" ht="12.75">
      <c r="S2853" s="3"/>
    </row>
    <row r="2854" ht="12.75">
      <c r="S2854" s="3"/>
    </row>
    <row r="2855" ht="12.75">
      <c r="S2855" s="3"/>
    </row>
    <row r="2856" ht="12.75">
      <c r="S2856" s="3"/>
    </row>
    <row r="2857" ht="12.75">
      <c r="S2857" s="3"/>
    </row>
    <row r="2858" ht="12.75">
      <c r="S2858" s="3"/>
    </row>
    <row r="2859" ht="12.75">
      <c r="S2859" s="3"/>
    </row>
    <row r="2860" ht="12.75">
      <c r="S2860" s="3"/>
    </row>
    <row r="2861" ht="12.75">
      <c r="S2861" s="3"/>
    </row>
    <row r="2862" ht="12.75">
      <c r="S2862" s="3"/>
    </row>
    <row r="2863" ht="12.75">
      <c r="S2863" s="3"/>
    </row>
    <row r="2864" ht="12.75">
      <c r="S2864" s="3"/>
    </row>
    <row r="2865" ht="12.75">
      <c r="S2865" s="3"/>
    </row>
    <row r="2866" ht="12.75">
      <c r="S2866" s="3"/>
    </row>
    <row r="2867" ht="12.75">
      <c r="S2867" s="3"/>
    </row>
    <row r="2868" ht="12.75">
      <c r="S2868" s="3"/>
    </row>
    <row r="2869" ht="12.75">
      <c r="S2869" s="3"/>
    </row>
    <row r="2870" ht="12.75">
      <c r="S2870" s="3"/>
    </row>
    <row r="2871" ht="12.75">
      <c r="S2871" s="3"/>
    </row>
    <row r="2872" ht="12.75">
      <c r="S2872" s="3"/>
    </row>
    <row r="2873" ht="12.75">
      <c r="S2873" s="3"/>
    </row>
    <row r="2874" ht="12.75">
      <c r="S2874" s="3"/>
    </row>
    <row r="2875" ht="12.75">
      <c r="S2875" s="3"/>
    </row>
    <row r="2876" ht="12.75">
      <c r="S2876" s="3"/>
    </row>
    <row r="2877" ht="12.75">
      <c r="S2877" s="3"/>
    </row>
    <row r="2878" ht="12.75">
      <c r="S2878" s="3"/>
    </row>
    <row r="2879" ht="12.75">
      <c r="S2879" s="3"/>
    </row>
    <row r="2880" ht="12.75">
      <c r="S2880" s="3"/>
    </row>
    <row r="2881" ht="12.75">
      <c r="S2881" s="3"/>
    </row>
    <row r="2882" ht="12.75">
      <c r="S2882" s="3"/>
    </row>
    <row r="2883" ht="12.75">
      <c r="S2883" s="3"/>
    </row>
    <row r="2884" ht="12.75">
      <c r="S2884" s="3"/>
    </row>
    <row r="2885" ht="12.75">
      <c r="S2885" s="3"/>
    </row>
    <row r="2886" ht="12.75">
      <c r="S2886" s="3"/>
    </row>
    <row r="2887" ht="12.75">
      <c r="S2887" s="3"/>
    </row>
    <row r="2888" ht="12.75">
      <c r="S2888" s="3"/>
    </row>
    <row r="2889" ht="12.75">
      <c r="S2889" s="3"/>
    </row>
    <row r="2890" ht="12.75">
      <c r="S2890" s="3"/>
    </row>
    <row r="2891" ht="12.75">
      <c r="S2891" s="3"/>
    </row>
    <row r="2892" ht="12.75">
      <c r="S2892" s="3"/>
    </row>
    <row r="2893" ht="12.75">
      <c r="S2893" s="3"/>
    </row>
    <row r="2894" ht="12.75">
      <c r="S2894" s="3"/>
    </row>
    <row r="2895" ht="12.75">
      <c r="S2895" s="3"/>
    </row>
    <row r="2896" ht="12.75">
      <c r="S2896" s="3"/>
    </row>
    <row r="2897" ht="12.75">
      <c r="S2897" s="3"/>
    </row>
    <row r="2898" ht="12.75">
      <c r="S2898" s="3"/>
    </row>
    <row r="2899" ht="12.75">
      <c r="S2899" s="3"/>
    </row>
    <row r="2900" ht="12.75">
      <c r="S2900" s="3"/>
    </row>
    <row r="2901" ht="12.75">
      <c r="S2901" s="3"/>
    </row>
    <row r="2902" ht="12.75">
      <c r="S2902" s="3"/>
    </row>
    <row r="2903" ht="12.75">
      <c r="S2903" s="3"/>
    </row>
    <row r="2904" ht="12.75">
      <c r="S2904" s="3"/>
    </row>
    <row r="2905" ht="12.75">
      <c r="S2905" s="3"/>
    </row>
    <row r="2906" ht="12.75">
      <c r="S2906" s="3"/>
    </row>
    <row r="2907" ht="12.75">
      <c r="S2907" s="3"/>
    </row>
    <row r="2908" ht="12.75">
      <c r="S2908" s="3"/>
    </row>
    <row r="2909" ht="12.75">
      <c r="S2909" s="3"/>
    </row>
    <row r="2910" ht="12.75">
      <c r="S2910" s="3"/>
    </row>
    <row r="2911" ht="12.75">
      <c r="S2911" s="3"/>
    </row>
    <row r="2912" ht="12.75">
      <c r="S2912" s="3"/>
    </row>
    <row r="2913" ht="12.75">
      <c r="S2913" s="3"/>
    </row>
    <row r="2914" ht="12.75">
      <c r="S2914" s="3"/>
    </row>
    <row r="2915" ht="12.75">
      <c r="S2915" s="3"/>
    </row>
    <row r="2916" ht="12.75">
      <c r="S2916" s="3"/>
    </row>
    <row r="2917" ht="12.75">
      <c r="S2917" s="3"/>
    </row>
    <row r="2918" ht="12.75">
      <c r="S2918" s="3"/>
    </row>
    <row r="2919" ht="12.75">
      <c r="S2919" s="3"/>
    </row>
    <row r="2920" ht="12.75">
      <c r="S2920" s="3"/>
    </row>
    <row r="2921" ht="12.75">
      <c r="S2921" s="3"/>
    </row>
    <row r="2922" ht="12.75">
      <c r="S2922" s="3"/>
    </row>
    <row r="2923" ht="12.75">
      <c r="S2923" s="3"/>
    </row>
    <row r="2924" ht="12.75">
      <c r="S2924" s="3"/>
    </row>
    <row r="2925" ht="12.75">
      <c r="S2925" s="3"/>
    </row>
    <row r="2926" ht="12.75">
      <c r="S2926" s="3"/>
    </row>
    <row r="2927" ht="12.75">
      <c r="S2927" s="3"/>
    </row>
    <row r="2928" ht="12.75">
      <c r="S2928" s="3"/>
    </row>
    <row r="2929" ht="12.75">
      <c r="S2929" s="3"/>
    </row>
    <row r="2930" ht="12.75">
      <c r="S2930" s="3"/>
    </row>
    <row r="2931" ht="12.75">
      <c r="S2931" s="3"/>
    </row>
    <row r="2932" ht="12.75">
      <c r="S2932" s="3"/>
    </row>
    <row r="2933" ht="12.75">
      <c r="S2933" s="3"/>
    </row>
    <row r="2934" ht="12.75">
      <c r="S2934" s="3"/>
    </row>
    <row r="2935" ht="12.75">
      <c r="S2935" s="3"/>
    </row>
    <row r="2936" ht="12.75">
      <c r="S2936" s="3"/>
    </row>
    <row r="2937" ht="12.75">
      <c r="S2937" s="3"/>
    </row>
    <row r="2938" ht="12.75">
      <c r="S2938" s="3"/>
    </row>
    <row r="2939" ht="12.75">
      <c r="S2939" s="3"/>
    </row>
    <row r="2940" ht="12.75">
      <c r="S2940" s="3"/>
    </row>
    <row r="2941" ht="12.75">
      <c r="S2941" s="3"/>
    </row>
    <row r="2942" ht="12.75">
      <c r="S2942" s="3"/>
    </row>
    <row r="2943" ht="12.75">
      <c r="S2943" s="3"/>
    </row>
    <row r="2944" ht="12.75">
      <c r="S2944" s="3"/>
    </row>
    <row r="2945" ht="12.75">
      <c r="S2945" s="3"/>
    </row>
    <row r="2946" ht="12.75">
      <c r="S2946" s="3"/>
    </row>
    <row r="2947" ht="12.75">
      <c r="S2947" s="3"/>
    </row>
    <row r="2948" ht="12.75">
      <c r="S2948" s="3"/>
    </row>
    <row r="2949" ht="12.75">
      <c r="S2949" s="3"/>
    </row>
    <row r="2950" ht="12.75">
      <c r="S2950" s="3"/>
    </row>
    <row r="2951" ht="12.75">
      <c r="S2951" s="3"/>
    </row>
    <row r="2952" ht="12.75">
      <c r="S2952" s="3"/>
    </row>
    <row r="2953" ht="12.75">
      <c r="S2953" s="3"/>
    </row>
    <row r="2954" ht="12.75">
      <c r="S2954" s="3"/>
    </row>
    <row r="2955" ht="12.75">
      <c r="S2955" s="3"/>
    </row>
    <row r="2956" ht="12.75">
      <c r="S2956" s="3"/>
    </row>
    <row r="2957" ht="12.75">
      <c r="S2957" s="3"/>
    </row>
    <row r="2958" ht="12.75">
      <c r="S2958" s="3"/>
    </row>
    <row r="2959" ht="12.75">
      <c r="S2959" s="3"/>
    </row>
    <row r="2960" ht="12.75">
      <c r="S2960" s="3"/>
    </row>
    <row r="2961" ht="12.75">
      <c r="S2961" s="3"/>
    </row>
    <row r="2962" ht="12.75">
      <c r="S2962" s="3"/>
    </row>
    <row r="2963" ht="12.75">
      <c r="S2963" s="3"/>
    </row>
    <row r="2964" ht="12.75">
      <c r="S2964" s="3"/>
    </row>
    <row r="2965" ht="12.75">
      <c r="S2965" s="3"/>
    </row>
    <row r="2966" ht="12.75">
      <c r="S2966" s="3"/>
    </row>
    <row r="2967" ht="12.75">
      <c r="S2967" s="3"/>
    </row>
    <row r="2968" ht="12.75">
      <c r="S2968" s="3"/>
    </row>
    <row r="2969" ht="12.75">
      <c r="S2969" s="3"/>
    </row>
    <row r="2970" ht="12.75">
      <c r="S2970" s="3"/>
    </row>
    <row r="2971" ht="12.75">
      <c r="S2971" s="3"/>
    </row>
    <row r="2972" ht="12.75">
      <c r="S2972" s="3"/>
    </row>
    <row r="2973" ht="12.75">
      <c r="S2973" s="3"/>
    </row>
    <row r="2974" ht="12.75">
      <c r="S2974" s="3"/>
    </row>
    <row r="2975" ht="12.75">
      <c r="S2975" s="3"/>
    </row>
    <row r="2976" ht="12.75">
      <c r="S2976" s="3"/>
    </row>
    <row r="2977" ht="12.75">
      <c r="S2977" s="3"/>
    </row>
    <row r="2978" ht="12.75">
      <c r="S2978" s="3"/>
    </row>
    <row r="2979" ht="12.75">
      <c r="S2979" s="3"/>
    </row>
    <row r="2980" ht="12.75">
      <c r="S2980" s="3"/>
    </row>
    <row r="2981" ht="12.75">
      <c r="S2981" s="3"/>
    </row>
    <row r="2982" ht="12.75">
      <c r="S2982" s="3"/>
    </row>
    <row r="2983" ht="12.75">
      <c r="S2983" s="3"/>
    </row>
    <row r="2984" ht="12.75">
      <c r="S2984" s="3"/>
    </row>
    <row r="2985" ht="12.75">
      <c r="S2985" s="3"/>
    </row>
    <row r="2986" ht="12.75">
      <c r="S2986" s="3"/>
    </row>
    <row r="2987" ht="12.75">
      <c r="S2987" s="3"/>
    </row>
    <row r="2988" ht="12.75">
      <c r="S2988" s="3"/>
    </row>
    <row r="2989" ht="12.75">
      <c r="S2989" s="3"/>
    </row>
    <row r="2990" ht="12.75">
      <c r="S2990" s="3"/>
    </row>
    <row r="2991" ht="12.75">
      <c r="S2991" s="3"/>
    </row>
    <row r="2992" ht="12.75">
      <c r="S2992" s="3"/>
    </row>
    <row r="2993" ht="12.75">
      <c r="S2993" s="3"/>
    </row>
    <row r="2994" ht="12.75">
      <c r="S2994" s="3"/>
    </row>
    <row r="2995" ht="12.75">
      <c r="S2995" s="3"/>
    </row>
    <row r="2996" ht="12.75">
      <c r="S2996" s="3"/>
    </row>
    <row r="2997" ht="12.75">
      <c r="S2997" s="3"/>
    </row>
    <row r="2998" ht="12.75">
      <c r="S2998" s="3"/>
    </row>
    <row r="2999" ht="12.75">
      <c r="S2999" s="3"/>
    </row>
    <row r="3000" ht="12.75">
      <c r="S3000" s="3"/>
    </row>
    <row r="3001" ht="12.75">
      <c r="S3001" s="3"/>
    </row>
    <row r="3002" ht="12.75">
      <c r="S3002" s="3"/>
    </row>
    <row r="3003" ht="12.75">
      <c r="S3003" s="3"/>
    </row>
    <row r="3004" ht="12.75">
      <c r="S3004" s="3"/>
    </row>
    <row r="3005" ht="12.75">
      <c r="S3005" s="3"/>
    </row>
    <row r="3006" ht="12.75">
      <c r="S3006" s="3"/>
    </row>
    <row r="3007" ht="12.75">
      <c r="S3007" s="3"/>
    </row>
    <row r="3008" ht="12.75">
      <c r="S3008" s="3"/>
    </row>
    <row r="3009" ht="12.75">
      <c r="S3009" s="3"/>
    </row>
    <row r="3010" ht="12.75">
      <c r="S3010" s="3"/>
    </row>
    <row r="3011" ht="12.75">
      <c r="S3011" s="3"/>
    </row>
    <row r="3012" ht="12.75">
      <c r="S3012" s="3"/>
    </row>
    <row r="3013" ht="12.75">
      <c r="S3013" s="3"/>
    </row>
    <row r="3014" ht="12.75">
      <c r="S3014" s="3"/>
    </row>
    <row r="3015" ht="12.75">
      <c r="S3015" s="3"/>
    </row>
    <row r="3016" ht="12.75">
      <c r="S3016" s="3"/>
    </row>
    <row r="3017" ht="12.75">
      <c r="S3017" s="3"/>
    </row>
    <row r="3018" ht="12.75">
      <c r="S3018" s="3"/>
    </row>
    <row r="3019" ht="12.75">
      <c r="S3019" s="3"/>
    </row>
    <row r="3020" ht="12.75">
      <c r="S3020" s="3"/>
    </row>
    <row r="3021" ht="12.75">
      <c r="S3021" s="3"/>
    </row>
    <row r="3022" ht="12.75">
      <c r="S3022" s="3"/>
    </row>
    <row r="3023" ht="12.75">
      <c r="S3023" s="3"/>
    </row>
    <row r="3024" ht="12.75">
      <c r="S3024" s="3"/>
    </row>
    <row r="3025" ht="12.75">
      <c r="S3025" s="3"/>
    </row>
    <row r="3026" ht="12.75">
      <c r="S3026" s="3"/>
    </row>
    <row r="3027" ht="12.75">
      <c r="S3027" s="3"/>
    </row>
    <row r="3028" ht="12.75">
      <c r="S3028" s="3"/>
    </row>
    <row r="3029" ht="12.75">
      <c r="S3029" s="3"/>
    </row>
    <row r="3030" ht="12.75">
      <c r="S3030" s="3"/>
    </row>
    <row r="3031" ht="12.75">
      <c r="S3031" s="3"/>
    </row>
    <row r="3032" ht="12.75">
      <c r="S3032" s="3"/>
    </row>
    <row r="3033" ht="12.75">
      <c r="S3033" s="3"/>
    </row>
    <row r="3034" ht="12.75">
      <c r="S3034" s="3"/>
    </row>
    <row r="3035" ht="12.75">
      <c r="S3035" s="3"/>
    </row>
    <row r="3036" ht="12.75">
      <c r="S3036" s="3"/>
    </row>
    <row r="3037" ht="12.75">
      <c r="S3037" s="3"/>
    </row>
    <row r="3038" ht="12.75">
      <c r="S3038" s="3"/>
    </row>
    <row r="3039" ht="12.75">
      <c r="S3039" s="3"/>
    </row>
    <row r="3040" ht="12.75">
      <c r="S3040" s="3"/>
    </row>
    <row r="3041" ht="12.75">
      <c r="S3041" s="3"/>
    </row>
    <row r="3042" ht="12.75">
      <c r="S3042" s="3"/>
    </row>
    <row r="3043" ht="12.75">
      <c r="S3043" s="3"/>
    </row>
    <row r="3044" ht="12.75">
      <c r="S3044" s="3"/>
    </row>
    <row r="3045" ht="12.75">
      <c r="S3045" s="3"/>
    </row>
    <row r="3046" ht="12.75">
      <c r="S3046" s="3"/>
    </row>
    <row r="3047" ht="12.75">
      <c r="S3047" s="3"/>
    </row>
    <row r="3048" ht="12.75">
      <c r="S3048" s="3"/>
    </row>
    <row r="3049" ht="12.75">
      <c r="S3049" s="3"/>
    </row>
    <row r="3050" ht="12.75">
      <c r="S3050" s="3"/>
    </row>
    <row r="3051" ht="12.75">
      <c r="S3051" s="3"/>
    </row>
    <row r="3052" ht="12.75">
      <c r="S3052" s="3"/>
    </row>
    <row r="3053" ht="12.75">
      <c r="S3053" s="3"/>
    </row>
    <row r="3054" ht="12.75">
      <c r="S3054" s="3"/>
    </row>
    <row r="3055" ht="12.75">
      <c r="S3055" s="3"/>
    </row>
    <row r="3056" ht="12.75">
      <c r="S3056" s="3"/>
    </row>
    <row r="3057" ht="12.75">
      <c r="S3057" s="3"/>
    </row>
    <row r="3058" ht="12.75">
      <c r="S3058" s="3"/>
    </row>
    <row r="3059" ht="12.75">
      <c r="S3059" s="3"/>
    </row>
    <row r="3060" ht="12.75">
      <c r="S3060" s="3"/>
    </row>
    <row r="3061" ht="12.75">
      <c r="S3061" s="3"/>
    </row>
    <row r="3062" ht="12.75">
      <c r="S3062" s="3"/>
    </row>
    <row r="3063" ht="12.75">
      <c r="S3063" s="3"/>
    </row>
    <row r="3064" ht="12.75">
      <c r="S3064" s="3"/>
    </row>
    <row r="3065" ht="12.75">
      <c r="S3065" s="3"/>
    </row>
    <row r="3066" ht="12.75">
      <c r="S3066" s="3"/>
    </row>
    <row r="3067" ht="12.75">
      <c r="S3067" s="3"/>
    </row>
    <row r="3068" ht="12.75">
      <c r="S3068" s="3"/>
    </row>
    <row r="3069" ht="12.75">
      <c r="S3069" s="3"/>
    </row>
    <row r="3070" ht="12.75">
      <c r="S3070" s="3"/>
    </row>
    <row r="3071" ht="12.75">
      <c r="S3071" s="3"/>
    </row>
    <row r="3072" ht="12.75">
      <c r="S3072" s="3"/>
    </row>
    <row r="3073" ht="12.75">
      <c r="S3073" s="3"/>
    </row>
    <row r="3074" ht="12.75">
      <c r="S3074" s="3"/>
    </row>
    <row r="3075" ht="12.75">
      <c r="S3075" s="3"/>
    </row>
    <row r="3076" ht="12.75">
      <c r="S3076" s="3"/>
    </row>
    <row r="3077" ht="12.75">
      <c r="S3077" s="3"/>
    </row>
    <row r="3078" ht="12.75">
      <c r="S3078" s="3"/>
    </row>
    <row r="3079" ht="12.75">
      <c r="S3079" s="3"/>
    </row>
    <row r="3080" ht="12.75">
      <c r="S3080" s="3"/>
    </row>
    <row r="3081" ht="12.75">
      <c r="S3081" s="3"/>
    </row>
    <row r="3082" ht="12.75">
      <c r="S3082" s="3"/>
    </row>
    <row r="3083" ht="12.75">
      <c r="S3083" s="3"/>
    </row>
    <row r="3084" ht="12.75">
      <c r="S3084" s="3"/>
    </row>
    <row r="3085" ht="12.75">
      <c r="S3085" s="3"/>
    </row>
    <row r="3086" ht="12.75">
      <c r="S3086" s="3"/>
    </row>
    <row r="3087" ht="12.75">
      <c r="S3087" s="3"/>
    </row>
    <row r="3088" ht="12.75">
      <c r="S3088" s="3"/>
    </row>
    <row r="3089" ht="12.75">
      <c r="S3089" s="3"/>
    </row>
    <row r="3090" ht="12.75">
      <c r="S3090" s="3"/>
    </row>
    <row r="3091" ht="12.75">
      <c r="S3091" s="3"/>
    </row>
    <row r="3092" ht="12.75">
      <c r="S3092" s="3"/>
    </row>
    <row r="3093" ht="12.75">
      <c r="S3093" s="3"/>
    </row>
    <row r="3094" ht="12.75">
      <c r="S3094" s="3"/>
    </row>
    <row r="3095" ht="12.75">
      <c r="S3095" s="3"/>
    </row>
    <row r="3096" ht="12.75">
      <c r="S3096" s="3"/>
    </row>
    <row r="3097" ht="12.75">
      <c r="S3097" s="3"/>
    </row>
    <row r="3098" ht="12.75">
      <c r="S3098" s="3"/>
    </row>
    <row r="3099" ht="12.75">
      <c r="S3099" s="3"/>
    </row>
    <row r="3100" ht="12.75">
      <c r="S3100" s="3"/>
    </row>
    <row r="3101" ht="12.75">
      <c r="S3101" s="3"/>
    </row>
    <row r="3102" ht="12.75">
      <c r="S3102" s="3"/>
    </row>
    <row r="3103" ht="12.75">
      <c r="S3103" s="3"/>
    </row>
    <row r="3104" ht="12.75">
      <c r="S3104" s="3"/>
    </row>
    <row r="3105" ht="12.75">
      <c r="S3105" s="3"/>
    </row>
    <row r="3106" ht="12.75">
      <c r="S3106" s="3"/>
    </row>
    <row r="3107" ht="12.75">
      <c r="S3107" s="3"/>
    </row>
    <row r="3108" ht="12.75">
      <c r="S3108" s="3"/>
    </row>
    <row r="3109" ht="12.75">
      <c r="S3109" s="3"/>
    </row>
    <row r="3110" ht="12.75">
      <c r="S3110" s="3"/>
    </row>
    <row r="3111" ht="12.75">
      <c r="S3111" s="3"/>
    </row>
    <row r="3112" ht="12.75">
      <c r="S3112" s="3"/>
    </row>
    <row r="3113" ht="12.75">
      <c r="S3113" s="3"/>
    </row>
    <row r="3114" ht="12.75">
      <c r="S3114" s="3"/>
    </row>
    <row r="3115" ht="12.75">
      <c r="S3115" s="3"/>
    </row>
    <row r="3116" ht="12.75">
      <c r="S3116" s="3"/>
    </row>
    <row r="3117" ht="12.75">
      <c r="S3117" s="3"/>
    </row>
    <row r="3118" ht="12.75">
      <c r="S3118" s="3"/>
    </row>
    <row r="3119" ht="12.75">
      <c r="S3119" s="3"/>
    </row>
    <row r="3120" ht="12.75">
      <c r="S3120" s="3"/>
    </row>
    <row r="3121" ht="12.75">
      <c r="S3121" s="3"/>
    </row>
    <row r="3122" ht="12.75">
      <c r="S3122" s="3"/>
    </row>
    <row r="3123" ht="12.75">
      <c r="S3123" s="3"/>
    </row>
    <row r="3124" ht="12.75">
      <c r="S3124" s="3"/>
    </row>
    <row r="3125" ht="12.75">
      <c r="S3125" s="3"/>
    </row>
    <row r="3126" ht="12.75">
      <c r="S3126" s="3"/>
    </row>
    <row r="3127" ht="12.75">
      <c r="S3127" s="3"/>
    </row>
    <row r="3128" ht="12.75">
      <c r="S3128" s="3"/>
    </row>
    <row r="3129" ht="12.75">
      <c r="S3129" s="3"/>
    </row>
    <row r="3130" ht="12.75">
      <c r="S3130" s="3"/>
    </row>
    <row r="3131" ht="12.75">
      <c r="S3131" s="3"/>
    </row>
    <row r="3132" ht="12.75">
      <c r="S3132" s="3"/>
    </row>
    <row r="3133" ht="12.75">
      <c r="S3133" s="3"/>
    </row>
    <row r="3134" ht="12.75">
      <c r="S3134" s="3"/>
    </row>
    <row r="3135" ht="12.75">
      <c r="S3135" s="3"/>
    </row>
    <row r="3136" ht="12.75">
      <c r="S3136" s="3"/>
    </row>
    <row r="3137" ht="12.75">
      <c r="S3137" s="3"/>
    </row>
    <row r="3138" ht="12.75">
      <c r="S3138" s="3"/>
    </row>
    <row r="3139" ht="12.75">
      <c r="S3139" s="3"/>
    </row>
    <row r="3140" ht="12.75">
      <c r="S3140" s="3"/>
    </row>
    <row r="3141" ht="12.75">
      <c r="S3141" s="3"/>
    </row>
    <row r="3142" ht="12.75">
      <c r="S3142" s="3"/>
    </row>
    <row r="3143" ht="12.75">
      <c r="S3143" s="3"/>
    </row>
    <row r="3144" ht="12.75">
      <c r="S3144" s="3"/>
    </row>
    <row r="3145" ht="12.75">
      <c r="S3145" s="3"/>
    </row>
    <row r="3146" ht="12.75">
      <c r="S3146" s="3"/>
    </row>
    <row r="3147" ht="12.75">
      <c r="S3147" s="3"/>
    </row>
    <row r="3148" ht="12.75">
      <c r="S3148" s="3"/>
    </row>
    <row r="3149" ht="12.75">
      <c r="S3149" s="3"/>
    </row>
    <row r="3150" ht="12.75">
      <c r="S3150" s="3"/>
    </row>
    <row r="3151" ht="12.75">
      <c r="S3151" s="3"/>
    </row>
    <row r="3152" ht="12.75">
      <c r="S3152" s="3"/>
    </row>
    <row r="3153" ht="12.75">
      <c r="S3153" s="3"/>
    </row>
    <row r="3154" ht="12.75">
      <c r="S3154" s="3"/>
    </row>
    <row r="3155" ht="12.75">
      <c r="S3155" s="3"/>
    </row>
    <row r="3156" ht="12.75">
      <c r="S3156" s="3"/>
    </row>
    <row r="3157" ht="12.75">
      <c r="S3157" s="3"/>
    </row>
    <row r="3158" ht="12.75">
      <c r="S3158" s="3"/>
    </row>
    <row r="3159" ht="12.75">
      <c r="S3159" s="3"/>
    </row>
    <row r="3160" ht="12.75">
      <c r="S3160" s="3"/>
    </row>
    <row r="3161" ht="12.75">
      <c r="S3161" s="3"/>
    </row>
    <row r="3162" ht="12.75">
      <c r="S3162" s="3"/>
    </row>
    <row r="3163" ht="12.75">
      <c r="S3163" s="3"/>
    </row>
    <row r="3164" ht="12.75">
      <c r="S3164" s="3"/>
    </row>
    <row r="3165" ht="12.75">
      <c r="S3165" s="3"/>
    </row>
    <row r="3166" ht="12.75">
      <c r="S3166" s="3"/>
    </row>
    <row r="3167" ht="12.75">
      <c r="S3167" s="3"/>
    </row>
    <row r="3168" ht="12.75">
      <c r="S3168" s="3"/>
    </row>
    <row r="3169" ht="12.75">
      <c r="S3169" s="3"/>
    </row>
    <row r="3170" ht="12.75">
      <c r="S3170" s="3"/>
    </row>
    <row r="3171" ht="12.75">
      <c r="S3171" s="3"/>
    </row>
    <row r="3172" ht="12.75">
      <c r="S3172" s="3"/>
    </row>
    <row r="3173" ht="12.75">
      <c r="S3173" s="3"/>
    </row>
    <row r="3174" ht="12.75">
      <c r="S3174" s="3"/>
    </row>
    <row r="3175" ht="12.75">
      <c r="S3175" s="3"/>
    </row>
    <row r="3176" ht="12.75">
      <c r="S3176" s="3"/>
    </row>
    <row r="3177" ht="12.75">
      <c r="S3177" s="3"/>
    </row>
    <row r="3178" ht="12.75">
      <c r="S3178" s="3"/>
    </row>
    <row r="3179" ht="12.75">
      <c r="S3179" s="3"/>
    </row>
    <row r="3180" ht="12.75">
      <c r="S3180" s="3"/>
    </row>
    <row r="3181" ht="12.75">
      <c r="S3181" s="3"/>
    </row>
    <row r="3182" ht="12.75">
      <c r="S3182" s="3"/>
    </row>
    <row r="3183" ht="12.75">
      <c r="S3183" s="3"/>
    </row>
    <row r="3184" ht="12.75">
      <c r="S3184" s="3"/>
    </row>
    <row r="3185" ht="12.75">
      <c r="S3185" s="3"/>
    </row>
    <row r="3186" ht="12.75">
      <c r="S3186" s="3"/>
    </row>
    <row r="3187" ht="12.75">
      <c r="S3187" s="3"/>
    </row>
    <row r="3188" ht="12.75">
      <c r="S3188" s="3"/>
    </row>
    <row r="3189" ht="12.75">
      <c r="S3189" s="3"/>
    </row>
    <row r="3190" ht="12.75">
      <c r="S3190" s="3"/>
    </row>
    <row r="3191" ht="12.75">
      <c r="S3191" s="3"/>
    </row>
    <row r="3192" ht="12.75">
      <c r="S3192" s="3"/>
    </row>
    <row r="3193" ht="12.75">
      <c r="S3193" s="3"/>
    </row>
    <row r="3194" ht="12.75">
      <c r="S3194" s="3"/>
    </row>
    <row r="3195" ht="12.75">
      <c r="S3195" s="3"/>
    </row>
    <row r="3196" ht="12.75">
      <c r="S3196" s="3"/>
    </row>
    <row r="3197" ht="12.75">
      <c r="S3197" s="3"/>
    </row>
    <row r="3198" ht="12.75">
      <c r="S3198" s="3"/>
    </row>
    <row r="3199" ht="12.75">
      <c r="S3199" s="3"/>
    </row>
    <row r="3200" ht="12.75">
      <c r="S3200" s="3"/>
    </row>
    <row r="3201" ht="12.75">
      <c r="S3201" s="3"/>
    </row>
    <row r="3202" ht="12.75">
      <c r="S3202" s="3"/>
    </row>
    <row r="3203" ht="12.75">
      <c r="S3203" s="3"/>
    </row>
    <row r="3204" ht="12.75">
      <c r="S3204" s="3"/>
    </row>
    <row r="3205" ht="12.75">
      <c r="S3205" s="3"/>
    </row>
    <row r="3206" ht="12.75">
      <c r="S3206" s="3"/>
    </row>
    <row r="3207" ht="12.75">
      <c r="S3207" s="3"/>
    </row>
    <row r="3208" ht="12.75">
      <c r="S3208" s="3"/>
    </row>
    <row r="3209" ht="12.75">
      <c r="S3209" s="3"/>
    </row>
    <row r="3210" ht="12.75">
      <c r="S3210" s="3"/>
    </row>
    <row r="3211" ht="12.75">
      <c r="S3211" s="3"/>
    </row>
    <row r="3212" ht="12.75">
      <c r="S3212" s="3"/>
    </row>
    <row r="3213" ht="12.75">
      <c r="S3213" s="3"/>
    </row>
    <row r="3214" ht="12.75">
      <c r="S3214" s="3"/>
    </row>
    <row r="3215" ht="12.75">
      <c r="S3215" s="3"/>
    </row>
    <row r="3216" ht="12.75">
      <c r="S3216" s="3"/>
    </row>
    <row r="3217" ht="12.75">
      <c r="S3217" s="3"/>
    </row>
    <row r="3218" ht="12.75">
      <c r="S3218" s="3"/>
    </row>
    <row r="3219" ht="12.75">
      <c r="S3219" s="3"/>
    </row>
    <row r="3220" ht="12.75">
      <c r="S3220" s="3"/>
    </row>
    <row r="3221" ht="12.75">
      <c r="S3221" s="3"/>
    </row>
    <row r="3222" ht="12.75">
      <c r="S3222" s="3"/>
    </row>
    <row r="3223" ht="12.75">
      <c r="S3223" s="3"/>
    </row>
    <row r="3224" ht="12.75">
      <c r="S3224" s="3"/>
    </row>
    <row r="3225" ht="12.75">
      <c r="S3225" s="3"/>
    </row>
    <row r="3226" ht="12.75">
      <c r="S3226" s="3"/>
    </row>
    <row r="3227" ht="12.75">
      <c r="S3227" s="3"/>
    </row>
    <row r="3228" ht="12.75">
      <c r="S3228" s="3"/>
    </row>
    <row r="3229" ht="12.75">
      <c r="S3229" s="3"/>
    </row>
    <row r="3230" ht="12.75">
      <c r="S3230" s="3"/>
    </row>
    <row r="3231" ht="12.75">
      <c r="S3231" s="3"/>
    </row>
    <row r="3232" ht="12.75">
      <c r="S3232" s="3"/>
    </row>
    <row r="3233" ht="12.75">
      <c r="S3233" s="3"/>
    </row>
    <row r="3234" ht="12.75">
      <c r="S3234" s="3"/>
    </row>
    <row r="3235" ht="12.75">
      <c r="S3235" s="3"/>
    </row>
    <row r="3236" ht="12.75">
      <c r="S3236" s="3"/>
    </row>
    <row r="3237" ht="12.75">
      <c r="S3237" s="3"/>
    </row>
    <row r="3238" ht="12.75">
      <c r="S3238" s="3"/>
    </row>
    <row r="3239" ht="12.75">
      <c r="S3239" s="3"/>
    </row>
    <row r="3240" ht="12.75">
      <c r="S3240" s="3"/>
    </row>
    <row r="3241" ht="12.75">
      <c r="S3241" s="3"/>
    </row>
    <row r="3242" ht="12.75">
      <c r="S3242" s="3"/>
    </row>
    <row r="3243" ht="12.75">
      <c r="S3243" s="3"/>
    </row>
    <row r="3244" ht="12.75">
      <c r="S3244" s="3"/>
    </row>
    <row r="3245" ht="12.75">
      <c r="S3245" s="3"/>
    </row>
    <row r="3246" ht="12.75">
      <c r="S3246" s="3"/>
    </row>
    <row r="3247" ht="12.75">
      <c r="S3247" s="3"/>
    </row>
    <row r="3248" ht="12.75">
      <c r="S3248" s="3"/>
    </row>
    <row r="3249" ht="12.75">
      <c r="S3249" s="3"/>
    </row>
    <row r="3250" ht="12.75">
      <c r="S3250" s="3"/>
    </row>
    <row r="3251" ht="12.75">
      <c r="S3251" s="3"/>
    </row>
    <row r="3252" ht="12.75">
      <c r="S3252" s="3"/>
    </row>
    <row r="3253" ht="12.75">
      <c r="S3253" s="3"/>
    </row>
    <row r="3254" ht="12.75">
      <c r="S3254" s="3"/>
    </row>
    <row r="3255" ht="12.75">
      <c r="S3255" s="3"/>
    </row>
    <row r="3256" ht="12.75">
      <c r="S3256" s="3"/>
    </row>
    <row r="3257" ht="12.75">
      <c r="S3257" s="3"/>
    </row>
    <row r="3258" ht="12.75">
      <c r="S3258" s="3"/>
    </row>
    <row r="3259" ht="12.75">
      <c r="S3259" s="3"/>
    </row>
    <row r="3260" ht="12.75">
      <c r="S3260" s="3"/>
    </row>
    <row r="3261" ht="12.75">
      <c r="S3261" s="3"/>
    </row>
    <row r="3262" ht="12.75">
      <c r="S3262" s="3"/>
    </row>
    <row r="3263" ht="12.75">
      <c r="S3263" s="3"/>
    </row>
    <row r="3264" ht="12.75">
      <c r="S3264" s="3"/>
    </row>
    <row r="3265" ht="12.75">
      <c r="S3265" s="3"/>
    </row>
    <row r="3266" ht="12.75">
      <c r="S3266" s="3"/>
    </row>
    <row r="3267" ht="12.75">
      <c r="S3267" s="3"/>
    </row>
    <row r="3268" ht="12.75">
      <c r="S3268" s="3"/>
    </row>
    <row r="3269" ht="12.75">
      <c r="S3269" s="3"/>
    </row>
    <row r="3270" ht="12.75">
      <c r="S3270" s="3"/>
    </row>
    <row r="3271" ht="12.75">
      <c r="S3271" s="3"/>
    </row>
    <row r="3272" ht="12.75">
      <c r="S3272" s="3"/>
    </row>
    <row r="3273" ht="12.75">
      <c r="S3273" s="3"/>
    </row>
    <row r="3274" ht="12.75">
      <c r="S3274" s="3"/>
    </row>
    <row r="3275" ht="12.75">
      <c r="S3275" s="3"/>
    </row>
    <row r="3276" ht="12.75">
      <c r="S3276" s="3"/>
    </row>
    <row r="3277" ht="12.75">
      <c r="S3277" s="3"/>
    </row>
    <row r="3278" ht="12.75">
      <c r="S3278" s="3"/>
    </row>
    <row r="3279" ht="12.75">
      <c r="S3279" s="3"/>
    </row>
    <row r="3280" ht="12.75">
      <c r="S3280" s="3"/>
    </row>
    <row r="3281" ht="12.75">
      <c r="S3281" s="3"/>
    </row>
    <row r="3282" ht="12.75">
      <c r="S3282" s="3"/>
    </row>
    <row r="3283" ht="12.75">
      <c r="S3283" s="3"/>
    </row>
    <row r="3284" ht="12.75">
      <c r="S3284" s="3"/>
    </row>
    <row r="3285" ht="12.75">
      <c r="S3285" s="3"/>
    </row>
    <row r="3286" ht="12.75">
      <c r="S3286" s="3"/>
    </row>
    <row r="3287" ht="12.75">
      <c r="S3287" s="3"/>
    </row>
    <row r="3288" ht="12.75">
      <c r="S3288" s="3"/>
    </row>
    <row r="3289" ht="12.75">
      <c r="S3289" s="3"/>
    </row>
    <row r="3290" ht="12.75">
      <c r="S3290" s="3"/>
    </row>
    <row r="3291" ht="12.75">
      <c r="S3291" s="3"/>
    </row>
    <row r="3292" ht="12.75">
      <c r="S3292" s="3"/>
    </row>
    <row r="3293" ht="12.75">
      <c r="S3293" s="3"/>
    </row>
    <row r="3294" ht="12.75">
      <c r="S3294" s="3"/>
    </row>
    <row r="3295" ht="12.75">
      <c r="S3295" s="3"/>
    </row>
    <row r="3296" ht="12.75">
      <c r="S3296" s="3"/>
    </row>
    <row r="3297" ht="12.75">
      <c r="S3297" s="3"/>
    </row>
    <row r="3298" ht="12.75">
      <c r="S3298" s="3"/>
    </row>
    <row r="3299" ht="12.75">
      <c r="S3299" s="3"/>
    </row>
    <row r="3300" ht="12.75">
      <c r="S3300" s="3"/>
    </row>
    <row r="3301" ht="12.75">
      <c r="S3301" s="3"/>
    </row>
    <row r="3302" ht="12.75">
      <c r="S3302" s="3"/>
    </row>
    <row r="3303" ht="12.75">
      <c r="S3303" s="3"/>
    </row>
    <row r="3304" ht="12.75">
      <c r="S3304" s="3"/>
    </row>
    <row r="3305" ht="12.75">
      <c r="S3305" s="3"/>
    </row>
    <row r="3306" ht="12.75">
      <c r="S3306" s="3"/>
    </row>
    <row r="3307" ht="12.75">
      <c r="S3307" s="3"/>
    </row>
    <row r="3308" ht="12.75">
      <c r="S3308" s="3"/>
    </row>
    <row r="3309" ht="12.75">
      <c r="S3309" s="3"/>
    </row>
    <row r="3310" ht="12.75">
      <c r="S3310" s="3"/>
    </row>
    <row r="3311" ht="12.75">
      <c r="S3311" s="3"/>
    </row>
    <row r="3312" ht="12.75">
      <c r="S3312" s="3"/>
    </row>
    <row r="3313" ht="12.75">
      <c r="S3313" s="3"/>
    </row>
    <row r="3314" ht="12.75">
      <c r="S3314" s="3"/>
    </row>
    <row r="3315" ht="12.75">
      <c r="S3315" s="3"/>
    </row>
    <row r="3316" ht="12.75">
      <c r="S3316" s="3"/>
    </row>
    <row r="3317" ht="12.75">
      <c r="S3317" s="3"/>
    </row>
    <row r="3318" ht="12.75">
      <c r="S3318" s="3"/>
    </row>
    <row r="3319" ht="12.75">
      <c r="S3319" s="3"/>
    </row>
    <row r="3320" ht="12.75">
      <c r="S3320" s="3"/>
    </row>
    <row r="3321" ht="12.75">
      <c r="S3321" s="3"/>
    </row>
    <row r="3322" ht="12.75">
      <c r="S3322" s="3"/>
    </row>
    <row r="3323" ht="12.75">
      <c r="S3323" s="3"/>
    </row>
    <row r="3324" ht="12.75">
      <c r="S3324" s="3"/>
    </row>
    <row r="3325" ht="12.75">
      <c r="S3325" s="3"/>
    </row>
    <row r="3326" ht="12.75">
      <c r="S3326" s="3"/>
    </row>
    <row r="3327" ht="12.75">
      <c r="S3327" s="3"/>
    </row>
    <row r="3328" ht="12.75">
      <c r="S3328" s="3"/>
    </row>
    <row r="3329" ht="12.75">
      <c r="S3329" s="3"/>
    </row>
    <row r="3330" ht="12.75">
      <c r="S3330" s="3"/>
    </row>
    <row r="3331" ht="12.75">
      <c r="S3331" s="3"/>
    </row>
    <row r="3332" ht="12.75">
      <c r="S3332" s="3"/>
    </row>
    <row r="3333" ht="12.75">
      <c r="S3333" s="3"/>
    </row>
    <row r="3334" ht="12.75">
      <c r="S3334" s="3"/>
    </row>
    <row r="3335" ht="12.75">
      <c r="S3335" s="3"/>
    </row>
    <row r="3336" ht="12.75">
      <c r="S3336" s="3"/>
    </row>
    <row r="3337" ht="12.75">
      <c r="S3337" s="3"/>
    </row>
    <row r="3338" ht="12.75">
      <c r="S3338" s="3"/>
    </row>
    <row r="3339" ht="12.75">
      <c r="S3339" s="3"/>
    </row>
    <row r="3340" ht="12.75">
      <c r="S3340" s="3"/>
    </row>
    <row r="3341" ht="12.75">
      <c r="S3341" s="3"/>
    </row>
    <row r="3342" ht="12.75">
      <c r="S3342" s="3"/>
    </row>
    <row r="3343" ht="12.75">
      <c r="S3343" s="3"/>
    </row>
    <row r="3344" ht="12.75">
      <c r="S3344" s="3"/>
    </row>
    <row r="3345" ht="12.75">
      <c r="S3345" s="3"/>
    </row>
    <row r="3346" ht="12.75">
      <c r="S3346" s="3"/>
    </row>
    <row r="3347" ht="12.75">
      <c r="S3347" s="3"/>
    </row>
    <row r="3348" ht="12.75">
      <c r="S3348" s="3"/>
    </row>
    <row r="3349" ht="12.75">
      <c r="S3349" s="3"/>
    </row>
    <row r="3350" ht="12.75">
      <c r="S3350" s="3"/>
    </row>
    <row r="3351" ht="12.75">
      <c r="S3351" s="3"/>
    </row>
    <row r="3352" ht="12.75">
      <c r="S3352" s="3"/>
    </row>
    <row r="3353" ht="12.75">
      <c r="S3353" s="3"/>
    </row>
    <row r="3354" ht="12.75">
      <c r="S3354" s="3"/>
    </row>
    <row r="3355" ht="12.75">
      <c r="S3355" s="3"/>
    </row>
    <row r="3356" ht="12.75">
      <c r="S3356" s="3"/>
    </row>
    <row r="3357" ht="12.75">
      <c r="S3357" s="3"/>
    </row>
    <row r="3358" ht="12.75">
      <c r="S3358" s="3"/>
    </row>
    <row r="3359" ht="12.75">
      <c r="S3359" s="3"/>
    </row>
    <row r="3360" ht="12.75">
      <c r="S3360" s="3"/>
    </row>
    <row r="3361" ht="12.75">
      <c r="S3361" s="3"/>
    </row>
    <row r="3362" ht="12.75">
      <c r="S3362" s="3"/>
    </row>
    <row r="3363" ht="12.75">
      <c r="S3363" s="3"/>
    </row>
    <row r="3364" ht="12.75">
      <c r="S3364" s="3"/>
    </row>
    <row r="3365" ht="12.75">
      <c r="S3365" s="3"/>
    </row>
    <row r="3366" ht="12.75">
      <c r="S3366" s="3"/>
    </row>
    <row r="3367" ht="12.75">
      <c r="S3367" s="3"/>
    </row>
    <row r="3368" ht="12.75">
      <c r="S3368" s="3"/>
    </row>
    <row r="3369" ht="12.75">
      <c r="S3369" s="3"/>
    </row>
    <row r="3370" ht="12.75">
      <c r="S3370" s="3"/>
    </row>
    <row r="3371" ht="12.75">
      <c r="S3371" s="3"/>
    </row>
    <row r="3372" ht="12.75">
      <c r="S3372" s="3"/>
    </row>
    <row r="3373" ht="12.75">
      <c r="S3373" s="3"/>
    </row>
    <row r="3374" ht="12.75">
      <c r="S3374" s="3"/>
    </row>
    <row r="3375" ht="12.75">
      <c r="S3375" s="3"/>
    </row>
    <row r="3376" ht="12.75">
      <c r="S3376" s="3"/>
    </row>
    <row r="3377" ht="12.75">
      <c r="S3377" s="3"/>
    </row>
    <row r="3378" ht="12.75">
      <c r="S3378" s="3"/>
    </row>
    <row r="3379" ht="12.75">
      <c r="S3379" s="3"/>
    </row>
    <row r="3380" ht="12.75">
      <c r="S3380" s="3"/>
    </row>
    <row r="3381" ht="12.75">
      <c r="S3381" s="3"/>
    </row>
    <row r="3382" ht="12.75">
      <c r="S3382" s="3"/>
    </row>
    <row r="3383" ht="12.75">
      <c r="S3383" s="3"/>
    </row>
    <row r="3384" ht="12.75">
      <c r="S3384" s="3"/>
    </row>
    <row r="3385" ht="12.75">
      <c r="S3385" s="3"/>
    </row>
    <row r="3386" ht="12.75">
      <c r="S3386" s="3"/>
    </row>
    <row r="3387" ht="12.75">
      <c r="S3387" s="3"/>
    </row>
    <row r="3388" ht="12.75">
      <c r="S3388" s="3"/>
    </row>
    <row r="3389" ht="12.75">
      <c r="S3389" s="3"/>
    </row>
    <row r="3390" ht="12.75">
      <c r="S3390" s="3"/>
    </row>
    <row r="3391" ht="12.75">
      <c r="S3391" s="3"/>
    </row>
    <row r="3392" ht="12.75">
      <c r="S3392" s="3"/>
    </row>
    <row r="3393" ht="12.75">
      <c r="S3393" s="3"/>
    </row>
    <row r="3394" ht="12.75">
      <c r="S3394" s="3"/>
    </row>
    <row r="3395" ht="12.75">
      <c r="S3395" s="3"/>
    </row>
    <row r="3396" ht="12.75">
      <c r="S3396" s="3"/>
    </row>
    <row r="3397" ht="12.75">
      <c r="S3397" s="3"/>
    </row>
    <row r="3398" ht="12.75">
      <c r="S3398" s="3"/>
    </row>
    <row r="3399" ht="12.75">
      <c r="S3399" s="3"/>
    </row>
    <row r="3400" ht="12.75">
      <c r="S3400" s="3"/>
    </row>
    <row r="3401" ht="12.75">
      <c r="S3401" s="3"/>
    </row>
    <row r="3402" ht="12.75">
      <c r="S3402" s="3"/>
    </row>
    <row r="3403" ht="12.75">
      <c r="S3403" s="3"/>
    </row>
    <row r="3404" ht="12.75">
      <c r="S3404" s="3"/>
    </row>
    <row r="3405" ht="12.75">
      <c r="S3405" s="3"/>
    </row>
    <row r="3406" ht="12.75">
      <c r="S3406" s="3"/>
    </row>
    <row r="3407" ht="12.75">
      <c r="S3407" s="3"/>
    </row>
    <row r="3408" ht="12.75">
      <c r="S3408" s="3"/>
    </row>
    <row r="3409" ht="12.75">
      <c r="S3409" s="3"/>
    </row>
    <row r="3410" ht="12.75">
      <c r="S3410" s="3"/>
    </row>
    <row r="3411" ht="12.75">
      <c r="S3411" s="3"/>
    </row>
    <row r="3412" ht="12.75">
      <c r="S3412" s="3"/>
    </row>
    <row r="3413" ht="12.75">
      <c r="S3413" s="3"/>
    </row>
    <row r="3414" ht="12.75">
      <c r="S3414" s="3"/>
    </row>
    <row r="3415" ht="12.75">
      <c r="S3415" s="3"/>
    </row>
    <row r="3416" ht="12.75">
      <c r="S3416" s="3"/>
    </row>
    <row r="3417" ht="12.75">
      <c r="S3417" s="3"/>
    </row>
    <row r="3418" ht="12.75">
      <c r="S3418" s="3"/>
    </row>
    <row r="3419" ht="12.75">
      <c r="S3419" s="3"/>
    </row>
    <row r="3420" ht="12.75">
      <c r="S3420" s="3"/>
    </row>
    <row r="3421" ht="12.75">
      <c r="S3421" s="3"/>
    </row>
    <row r="3422" ht="12.75">
      <c r="S3422" s="3"/>
    </row>
    <row r="3423" ht="12.75">
      <c r="S3423" s="3"/>
    </row>
    <row r="3424" ht="12.75">
      <c r="S3424" s="3"/>
    </row>
    <row r="3425" ht="12.75">
      <c r="S3425" s="3"/>
    </row>
    <row r="3426" ht="12.75">
      <c r="S3426" s="3"/>
    </row>
    <row r="3427" ht="12.75">
      <c r="S3427" s="3"/>
    </row>
    <row r="3428" ht="12.75">
      <c r="S3428" s="3"/>
    </row>
    <row r="3429" ht="12.75">
      <c r="S3429" s="3"/>
    </row>
    <row r="3430" ht="12.75">
      <c r="S3430" s="3"/>
    </row>
    <row r="3431" ht="12.75">
      <c r="S3431" s="3"/>
    </row>
    <row r="3432" ht="12.75">
      <c r="S3432" s="3"/>
    </row>
    <row r="3433" ht="12.75">
      <c r="S3433" s="3"/>
    </row>
    <row r="3434" ht="12.75">
      <c r="S3434" s="3"/>
    </row>
    <row r="3435" ht="12.75">
      <c r="S3435" s="3"/>
    </row>
    <row r="3436" ht="12.75">
      <c r="S3436" s="3"/>
    </row>
    <row r="3437" ht="12.75">
      <c r="S3437" s="3"/>
    </row>
    <row r="3438" ht="12.75">
      <c r="S3438" s="3"/>
    </row>
    <row r="3439" ht="12.75">
      <c r="S3439" s="3"/>
    </row>
    <row r="3440" ht="12.75">
      <c r="S3440" s="3"/>
    </row>
    <row r="3441" ht="12.75">
      <c r="S3441" s="3"/>
    </row>
    <row r="3442" ht="12.75">
      <c r="S3442" s="3"/>
    </row>
    <row r="3443" ht="12.75">
      <c r="S3443" s="3"/>
    </row>
    <row r="3444" ht="12.75">
      <c r="S3444" s="3"/>
    </row>
    <row r="3445" ht="12.75">
      <c r="S3445" s="3"/>
    </row>
    <row r="3446" ht="12.75">
      <c r="S3446" s="3"/>
    </row>
    <row r="3447" ht="12.75">
      <c r="S3447" s="3"/>
    </row>
    <row r="3448" ht="12.75">
      <c r="S3448" s="3"/>
    </row>
    <row r="3449" ht="12.75">
      <c r="S3449" s="3"/>
    </row>
    <row r="3450" ht="12.75">
      <c r="S3450" s="3"/>
    </row>
    <row r="3451" ht="12.75">
      <c r="S3451" s="3"/>
    </row>
    <row r="3452" ht="12.75">
      <c r="S3452" s="3"/>
    </row>
    <row r="3453" ht="12.75">
      <c r="S3453" s="3"/>
    </row>
    <row r="3454" ht="12.75">
      <c r="S3454" s="3"/>
    </row>
    <row r="3455" ht="12.75">
      <c r="S3455" s="3"/>
    </row>
    <row r="3456" ht="12.75">
      <c r="S3456" s="3"/>
    </row>
    <row r="3457" ht="12.75">
      <c r="S3457" s="3"/>
    </row>
    <row r="3458" ht="12.75">
      <c r="S3458" s="3"/>
    </row>
    <row r="3459" ht="12.75">
      <c r="S3459" s="3"/>
    </row>
    <row r="3460" ht="12.75">
      <c r="S3460" s="3"/>
    </row>
    <row r="3461" ht="12.75">
      <c r="S3461" s="3"/>
    </row>
    <row r="3462" ht="12.75">
      <c r="S3462" s="3"/>
    </row>
    <row r="3463" ht="12.75">
      <c r="S3463" s="3"/>
    </row>
    <row r="3464" ht="12.75">
      <c r="S3464" s="3"/>
    </row>
    <row r="3465" ht="12.75">
      <c r="S3465" s="3"/>
    </row>
    <row r="3466" ht="12.75">
      <c r="S3466" s="3"/>
    </row>
    <row r="3467" ht="12.75">
      <c r="S3467" s="3"/>
    </row>
    <row r="3468" ht="12.75">
      <c r="S3468" s="3"/>
    </row>
    <row r="3469" ht="12.75">
      <c r="S3469" s="3"/>
    </row>
    <row r="3470" ht="12.75">
      <c r="S3470" s="3"/>
    </row>
    <row r="3471" ht="12.75">
      <c r="S3471" s="3"/>
    </row>
    <row r="3472" ht="12.75">
      <c r="S3472" s="3"/>
    </row>
    <row r="3473" ht="12.75">
      <c r="S3473" s="3"/>
    </row>
    <row r="3474" ht="12.75">
      <c r="S3474" s="3"/>
    </row>
    <row r="3475" ht="12.75">
      <c r="S3475" s="3"/>
    </row>
    <row r="3476" ht="12.75">
      <c r="S3476" s="3"/>
    </row>
    <row r="3477" ht="12.75">
      <c r="S3477" s="3"/>
    </row>
    <row r="3478" ht="12.75">
      <c r="S3478" s="3"/>
    </row>
    <row r="3479" ht="12.75">
      <c r="S3479" s="3"/>
    </row>
    <row r="3480" ht="12.75">
      <c r="S3480" s="3"/>
    </row>
    <row r="3481" ht="12.75">
      <c r="S3481" s="3"/>
    </row>
    <row r="3482" ht="12.75">
      <c r="S3482" s="3"/>
    </row>
    <row r="3483" ht="12.75">
      <c r="S3483" s="3"/>
    </row>
    <row r="3484" ht="12.75">
      <c r="S3484" s="3"/>
    </row>
    <row r="3485" ht="12.75">
      <c r="S3485" s="3"/>
    </row>
    <row r="3486" ht="12.75">
      <c r="S3486" s="3"/>
    </row>
    <row r="3487" ht="12.75">
      <c r="S3487" s="3"/>
    </row>
    <row r="3488" ht="12.75">
      <c r="S3488" s="3"/>
    </row>
    <row r="3489" ht="12.75">
      <c r="S3489" s="3"/>
    </row>
    <row r="3490" ht="12.75">
      <c r="S3490" s="3"/>
    </row>
    <row r="3491" ht="12.75">
      <c r="S3491" s="3"/>
    </row>
    <row r="3492" ht="12.75">
      <c r="S3492" s="3"/>
    </row>
    <row r="3493" ht="12.75">
      <c r="S3493" s="3"/>
    </row>
    <row r="3494" ht="12.75">
      <c r="S3494" s="3"/>
    </row>
    <row r="3495" ht="12.75">
      <c r="S3495" s="3"/>
    </row>
    <row r="3496" ht="12.75">
      <c r="S3496" s="3"/>
    </row>
    <row r="3497" ht="12.75">
      <c r="S3497" s="3"/>
    </row>
    <row r="3498" ht="12.75">
      <c r="S3498" s="3"/>
    </row>
    <row r="3499" ht="12.75">
      <c r="S3499" s="3"/>
    </row>
    <row r="3500" ht="12.75">
      <c r="S3500" s="3"/>
    </row>
    <row r="3501" ht="12.75">
      <c r="S3501" s="3"/>
    </row>
    <row r="3502" ht="12.75">
      <c r="S3502" s="3"/>
    </row>
    <row r="3503" ht="12.75">
      <c r="S3503" s="3"/>
    </row>
    <row r="3504" ht="12.75">
      <c r="S3504" s="3"/>
    </row>
    <row r="3505" ht="12.75">
      <c r="S3505" s="3"/>
    </row>
    <row r="3506" ht="12.75">
      <c r="S3506" s="3"/>
    </row>
    <row r="3507" ht="12.75">
      <c r="S3507" s="3"/>
    </row>
    <row r="3508" ht="12.75">
      <c r="S3508" s="3"/>
    </row>
    <row r="3509" ht="12.75">
      <c r="S3509" s="3"/>
    </row>
    <row r="3510" ht="12.75">
      <c r="S3510" s="3"/>
    </row>
    <row r="3511" ht="12.75">
      <c r="S3511" s="3"/>
    </row>
    <row r="3512" ht="12.75">
      <c r="S3512" s="3"/>
    </row>
    <row r="3513" ht="12.75">
      <c r="S3513" s="3"/>
    </row>
    <row r="3514" ht="12.75">
      <c r="S3514" s="3"/>
    </row>
    <row r="3515" ht="12.75">
      <c r="S3515" s="3"/>
    </row>
    <row r="3516" ht="12.75">
      <c r="S3516" s="3"/>
    </row>
    <row r="3517" ht="12.75">
      <c r="S3517" s="3"/>
    </row>
    <row r="3518" ht="12.75">
      <c r="S3518" s="3"/>
    </row>
    <row r="3519" ht="12.75">
      <c r="S3519" s="3"/>
    </row>
    <row r="3520" ht="12.75">
      <c r="S3520" s="3"/>
    </row>
    <row r="3521" ht="12.75">
      <c r="S3521" s="3"/>
    </row>
    <row r="3522" ht="12.75">
      <c r="S3522" s="3"/>
    </row>
    <row r="3523" ht="12.75">
      <c r="S3523" s="3"/>
    </row>
    <row r="3524" ht="12.75">
      <c r="S3524" s="3"/>
    </row>
    <row r="3525" ht="12.75">
      <c r="S3525" s="3"/>
    </row>
    <row r="3526" ht="12.75">
      <c r="S3526" s="3"/>
    </row>
    <row r="3527" ht="12.75">
      <c r="S3527" s="3"/>
    </row>
    <row r="3528" ht="12.75">
      <c r="S3528" s="3"/>
    </row>
    <row r="3529" ht="12.75">
      <c r="S3529" s="3"/>
    </row>
    <row r="3530" ht="12.75">
      <c r="S3530" s="3"/>
    </row>
    <row r="3531" ht="12.75">
      <c r="S3531" s="3"/>
    </row>
    <row r="3532" ht="12.75">
      <c r="S3532" s="3"/>
    </row>
    <row r="3533" ht="12.75">
      <c r="S3533" s="3"/>
    </row>
    <row r="3534" ht="12.75">
      <c r="S3534" s="3"/>
    </row>
    <row r="3535" ht="12.75">
      <c r="S3535" s="3"/>
    </row>
    <row r="3536" ht="12.75">
      <c r="S3536" s="3"/>
    </row>
    <row r="3537" ht="12.75">
      <c r="S3537" s="3"/>
    </row>
    <row r="3538" ht="12.75">
      <c r="S3538" s="3"/>
    </row>
    <row r="3539" ht="12.75">
      <c r="S3539" s="3"/>
    </row>
    <row r="3540" ht="12.75">
      <c r="S3540" s="3"/>
    </row>
    <row r="3541" ht="12.75">
      <c r="S3541" s="3"/>
    </row>
    <row r="3542" ht="12.75">
      <c r="S3542" s="3"/>
    </row>
    <row r="3543" ht="12.75">
      <c r="S3543" s="3"/>
    </row>
    <row r="3544" ht="12.75">
      <c r="S3544" s="3"/>
    </row>
    <row r="3545" ht="12.75">
      <c r="S3545" s="3"/>
    </row>
    <row r="3546" ht="12.75">
      <c r="S3546" s="3"/>
    </row>
    <row r="3547" ht="12.75">
      <c r="S3547" s="3"/>
    </row>
    <row r="3548" ht="12.75">
      <c r="S3548" s="3"/>
    </row>
    <row r="3549" ht="12.75">
      <c r="S3549" s="3"/>
    </row>
    <row r="3550" ht="12.75">
      <c r="S3550" s="3"/>
    </row>
    <row r="3551" ht="12.75">
      <c r="S3551" s="3"/>
    </row>
    <row r="3552" ht="12.75">
      <c r="S3552" s="3"/>
    </row>
    <row r="3553" ht="12.75">
      <c r="S3553" s="3"/>
    </row>
    <row r="3554" ht="12.75">
      <c r="S3554" s="3"/>
    </row>
    <row r="3555" ht="12.75">
      <c r="S3555" s="3"/>
    </row>
    <row r="3556" ht="12.75">
      <c r="S3556" s="3"/>
    </row>
    <row r="3557" ht="12.75">
      <c r="S3557" s="3"/>
    </row>
    <row r="3558" ht="12.75">
      <c r="S3558" s="3"/>
    </row>
    <row r="3559" ht="12.75">
      <c r="S3559" s="3"/>
    </row>
    <row r="3560" ht="12.75">
      <c r="S3560" s="3"/>
    </row>
    <row r="3561" ht="12.75">
      <c r="S3561" s="3"/>
    </row>
    <row r="3562" ht="12.75">
      <c r="S3562" s="3"/>
    </row>
    <row r="3563" ht="12.75">
      <c r="S3563" s="3"/>
    </row>
    <row r="3564" ht="12.75">
      <c r="S3564" s="3"/>
    </row>
    <row r="3565" ht="12.75">
      <c r="S3565" s="3"/>
    </row>
    <row r="3566" ht="12.75">
      <c r="S3566" s="3"/>
    </row>
    <row r="3567" ht="12.75">
      <c r="S3567" s="3"/>
    </row>
    <row r="3568" ht="12.75">
      <c r="S3568" s="3"/>
    </row>
    <row r="3569" ht="12.75">
      <c r="S3569" s="3"/>
    </row>
    <row r="3570" ht="12.75">
      <c r="S3570" s="3"/>
    </row>
    <row r="3571" ht="12.75">
      <c r="S3571" s="3"/>
    </row>
    <row r="3572" ht="12.75">
      <c r="S3572" s="3"/>
    </row>
    <row r="3573" ht="12.75">
      <c r="S3573" s="3"/>
    </row>
    <row r="3574" ht="12.75">
      <c r="S3574" s="3"/>
    </row>
    <row r="3575" ht="12.75">
      <c r="S3575" s="3"/>
    </row>
    <row r="3576" ht="12.75">
      <c r="S3576" s="3"/>
    </row>
    <row r="3577" ht="12.75">
      <c r="S3577" s="3"/>
    </row>
    <row r="3578" ht="12.75">
      <c r="S3578" s="3"/>
    </row>
    <row r="3579" ht="12.75">
      <c r="S3579" s="3"/>
    </row>
    <row r="3580" ht="12.75">
      <c r="S3580" s="3"/>
    </row>
    <row r="3581" ht="12.75">
      <c r="S3581" s="3"/>
    </row>
    <row r="3582" ht="12.75">
      <c r="S3582" s="3"/>
    </row>
    <row r="3583" ht="12.75">
      <c r="S3583" s="3"/>
    </row>
    <row r="3584" ht="12.75">
      <c r="S3584" s="3"/>
    </row>
    <row r="3585" ht="12.75">
      <c r="S3585" s="3"/>
    </row>
    <row r="3586" ht="12.75">
      <c r="S3586" s="3"/>
    </row>
    <row r="3587" ht="12.75">
      <c r="S3587" s="3"/>
    </row>
    <row r="3588" ht="12.75">
      <c r="S3588" s="3"/>
    </row>
    <row r="3589" ht="12.75">
      <c r="S3589" s="3"/>
    </row>
    <row r="3590" ht="12.75">
      <c r="S3590" s="3"/>
    </row>
    <row r="3591" ht="12.75">
      <c r="S3591" s="3"/>
    </row>
    <row r="3592" ht="12.75">
      <c r="S3592" s="3"/>
    </row>
    <row r="3593" ht="12.75">
      <c r="S3593" s="3"/>
    </row>
    <row r="3594" ht="12.75">
      <c r="S3594" s="3"/>
    </row>
    <row r="3595" ht="12.75">
      <c r="S3595" s="3"/>
    </row>
    <row r="3596" ht="12.75">
      <c r="S3596" s="3"/>
    </row>
    <row r="3597" ht="12.75">
      <c r="S3597" s="3"/>
    </row>
    <row r="3598" ht="12.75">
      <c r="S3598" s="3"/>
    </row>
    <row r="3599" ht="12.75">
      <c r="S3599" s="3"/>
    </row>
    <row r="3600" ht="12.75">
      <c r="S3600" s="3"/>
    </row>
    <row r="3601" ht="12.75">
      <c r="S3601" s="3"/>
    </row>
    <row r="3602" ht="12.75">
      <c r="S3602" s="3"/>
    </row>
    <row r="3603" ht="12.75">
      <c r="S3603" s="3"/>
    </row>
    <row r="3604" ht="12.75">
      <c r="S3604" s="3"/>
    </row>
    <row r="3605" ht="12.75">
      <c r="S3605" s="3"/>
    </row>
    <row r="3606" ht="12.75">
      <c r="S3606" s="3"/>
    </row>
    <row r="3607" ht="12.75">
      <c r="S3607" s="3"/>
    </row>
    <row r="3608" ht="12.75">
      <c r="S3608" s="3"/>
    </row>
    <row r="3609" ht="12.75">
      <c r="S3609" s="3"/>
    </row>
    <row r="3610" ht="12.75">
      <c r="S3610" s="3"/>
    </row>
    <row r="3611" ht="12.75">
      <c r="S3611" s="3"/>
    </row>
    <row r="3612" ht="12.75">
      <c r="S3612" s="3"/>
    </row>
    <row r="3613" ht="12.75">
      <c r="S3613" s="3"/>
    </row>
    <row r="3614" ht="12.75">
      <c r="S3614" s="3"/>
    </row>
    <row r="3615" ht="12.75">
      <c r="S3615" s="3"/>
    </row>
    <row r="3616" ht="12.75">
      <c r="S3616" s="3"/>
    </row>
    <row r="3617" ht="12.75">
      <c r="S3617" s="3"/>
    </row>
    <row r="3618" ht="12.75">
      <c r="S3618" s="3"/>
    </row>
    <row r="3619" ht="12.75">
      <c r="S3619" s="3"/>
    </row>
    <row r="3620" ht="12.75">
      <c r="S3620" s="3"/>
    </row>
    <row r="3621" ht="12.75">
      <c r="S3621" s="3"/>
    </row>
    <row r="3622" ht="12.75">
      <c r="S3622" s="3"/>
    </row>
    <row r="3623" ht="12.75">
      <c r="S3623" s="3"/>
    </row>
    <row r="3624" ht="12.75">
      <c r="S3624" s="3"/>
    </row>
    <row r="3625" ht="12.75">
      <c r="S3625" s="3"/>
    </row>
    <row r="3626" ht="12.75">
      <c r="S3626" s="3"/>
    </row>
    <row r="3627" ht="12.75">
      <c r="S3627" s="3"/>
    </row>
    <row r="3628" ht="12.75">
      <c r="S3628" s="3"/>
    </row>
    <row r="3629" ht="12.75">
      <c r="S3629" s="3"/>
    </row>
    <row r="3630" ht="12.75">
      <c r="S3630" s="3"/>
    </row>
    <row r="3631" ht="12.75">
      <c r="S3631" s="3"/>
    </row>
    <row r="3632" ht="12.75">
      <c r="S3632" s="3"/>
    </row>
    <row r="3633" ht="12.75">
      <c r="S3633" s="3"/>
    </row>
    <row r="3634" ht="12.75">
      <c r="S3634" s="3"/>
    </row>
    <row r="3635" ht="12.75">
      <c r="S3635" s="3"/>
    </row>
    <row r="3636" ht="12.75">
      <c r="S3636" s="3"/>
    </row>
    <row r="3637" ht="12.75">
      <c r="S3637" s="3"/>
    </row>
    <row r="3638" ht="12.75">
      <c r="S3638" s="3"/>
    </row>
    <row r="3639" ht="12.75">
      <c r="S3639" s="3"/>
    </row>
    <row r="3640" ht="12.75">
      <c r="S3640" s="3"/>
    </row>
    <row r="3641" ht="12.75">
      <c r="S3641" s="3"/>
    </row>
    <row r="3642" ht="12.75">
      <c r="S3642" s="3"/>
    </row>
    <row r="3643" ht="12.75">
      <c r="S3643" s="3"/>
    </row>
    <row r="3644" ht="12.75">
      <c r="S3644" s="3"/>
    </row>
    <row r="3645" ht="12.75">
      <c r="S3645" s="3"/>
    </row>
    <row r="3646" ht="12.75">
      <c r="S3646" s="3"/>
    </row>
    <row r="3647" ht="12.75">
      <c r="S3647" s="3"/>
    </row>
    <row r="3648" ht="12.75">
      <c r="S3648" s="3"/>
    </row>
    <row r="3649" ht="12.75">
      <c r="S3649" s="3"/>
    </row>
    <row r="3650" ht="12.75">
      <c r="S3650" s="3"/>
    </row>
    <row r="3651" ht="12.75">
      <c r="S3651" s="3"/>
    </row>
    <row r="3652" ht="12.75">
      <c r="S3652" s="3"/>
    </row>
    <row r="3653" ht="12.75">
      <c r="S3653" s="3"/>
    </row>
    <row r="3654" ht="12.75">
      <c r="S3654" s="3"/>
    </row>
    <row r="3655" ht="12.75">
      <c r="S3655" s="3"/>
    </row>
    <row r="3656" ht="12.75">
      <c r="S3656" s="3"/>
    </row>
    <row r="3657" ht="12.75">
      <c r="S3657" s="3"/>
    </row>
    <row r="3658" ht="12.75">
      <c r="S3658" s="3"/>
    </row>
    <row r="3659" ht="12.75">
      <c r="S3659" s="3"/>
    </row>
    <row r="3660" ht="12.75">
      <c r="S3660" s="3"/>
    </row>
    <row r="3661" ht="12.75">
      <c r="S3661" s="3"/>
    </row>
    <row r="3662" ht="12.75">
      <c r="S3662" s="3"/>
    </row>
    <row r="3663" ht="12.75">
      <c r="S3663" s="3"/>
    </row>
    <row r="3664" ht="12.75">
      <c r="S3664" s="3"/>
    </row>
    <row r="3665" ht="12.75">
      <c r="S3665" s="3"/>
    </row>
    <row r="3666" ht="12.75">
      <c r="S3666" s="3"/>
    </row>
    <row r="3667" ht="12.75">
      <c r="S3667" s="3"/>
    </row>
    <row r="3668" ht="12.75">
      <c r="S3668" s="3"/>
    </row>
    <row r="3669" ht="12.75">
      <c r="S3669" s="3"/>
    </row>
    <row r="3670" ht="12.75">
      <c r="S3670" s="3"/>
    </row>
    <row r="3671" ht="12.75">
      <c r="S3671" s="3"/>
    </row>
    <row r="3672" ht="12.75">
      <c r="S3672" s="3"/>
    </row>
    <row r="3673" ht="12.75">
      <c r="S3673" s="3"/>
    </row>
    <row r="3674" ht="12.75">
      <c r="S3674" s="3"/>
    </row>
    <row r="3675" ht="12.75">
      <c r="S3675" s="3"/>
    </row>
    <row r="3676" ht="12.75">
      <c r="S3676" s="3"/>
    </row>
    <row r="3677" ht="12.75">
      <c r="S3677" s="3"/>
    </row>
    <row r="3678" ht="12.75">
      <c r="S3678" s="3"/>
    </row>
    <row r="3679" ht="12.75">
      <c r="S3679" s="3"/>
    </row>
    <row r="3680" ht="12.75">
      <c r="S3680" s="3"/>
    </row>
    <row r="3681" ht="12.75">
      <c r="S3681" s="3"/>
    </row>
    <row r="3682" ht="12.75">
      <c r="S3682" s="3"/>
    </row>
    <row r="3683" ht="12.75">
      <c r="S3683" s="3"/>
    </row>
    <row r="3684" ht="12.75">
      <c r="S3684" s="3"/>
    </row>
    <row r="3685" ht="12.75">
      <c r="S3685" s="3"/>
    </row>
    <row r="3686" ht="12.75">
      <c r="S3686" s="3"/>
    </row>
    <row r="3687" ht="12.75">
      <c r="S3687" s="3"/>
    </row>
    <row r="3688" ht="12.75">
      <c r="S3688" s="3"/>
    </row>
    <row r="3689" ht="12.75">
      <c r="S3689" s="3"/>
    </row>
    <row r="3690" ht="12.75">
      <c r="S3690" s="3"/>
    </row>
    <row r="3691" ht="12.75">
      <c r="S3691" s="3"/>
    </row>
    <row r="3692" ht="12.75">
      <c r="S3692" s="3"/>
    </row>
    <row r="3693" ht="12.75">
      <c r="S3693" s="3"/>
    </row>
    <row r="3694" ht="12.75">
      <c r="S3694" s="3"/>
    </row>
    <row r="3695" ht="12.75">
      <c r="S3695" s="3"/>
    </row>
    <row r="3696" ht="12.75">
      <c r="S3696" s="3"/>
    </row>
    <row r="3697" ht="12.75">
      <c r="S3697" s="3"/>
    </row>
    <row r="3698" ht="12.75">
      <c r="S3698" s="3"/>
    </row>
    <row r="3699" ht="12.75">
      <c r="S3699" s="3"/>
    </row>
    <row r="3700" ht="12.75">
      <c r="S3700" s="3"/>
    </row>
    <row r="3701" ht="12.75">
      <c r="S3701" s="3"/>
    </row>
    <row r="3702" ht="12.75">
      <c r="S3702" s="3"/>
    </row>
    <row r="3703" ht="12.75">
      <c r="S3703" s="3"/>
    </row>
    <row r="3704" ht="12.75">
      <c r="S3704" s="3"/>
    </row>
    <row r="3705" ht="12.75">
      <c r="S3705" s="3"/>
    </row>
    <row r="3706" ht="12.75">
      <c r="S3706" s="3"/>
    </row>
    <row r="3707" ht="12.75">
      <c r="S3707" s="3"/>
    </row>
    <row r="3708" ht="12.75">
      <c r="S3708" s="3"/>
    </row>
    <row r="3709" ht="12.75">
      <c r="S3709" s="3"/>
    </row>
    <row r="3710" ht="12.75">
      <c r="S3710" s="3"/>
    </row>
    <row r="3711" ht="12.75">
      <c r="S3711" s="3"/>
    </row>
    <row r="3712" ht="12.75">
      <c r="S3712" s="3"/>
    </row>
    <row r="3713" ht="12.75">
      <c r="S3713" s="3"/>
    </row>
    <row r="3714" ht="12.75">
      <c r="S3714" s="3"/>
    </row>
    <row r="3715" ht="12.75">
      <c r="S3715" s="3"/>
    </row>
    <row r="3716" ht="12.75">
      <c r="S3716" s="3"/>
    </row>
    <row r="3717" ht="12.75">
      <c r="S3717" s="3"/>
    </row>
    <row r="3718" ht="12.75">
      <c r="S3718" s="3"/>
    </row>
    <row r="3719" ht="12.75">
      <c r="S3719" s="3"/>
    </row>
    <row r="3720" ht="12.75">
      <c r="S3720" s="3"/>
    </row>
    <row r="3721" ht="12.75">
      <c r="S3721" s="3"/>
    </row>
    <row r="3722" ht="12.75">
      <c r="S3722" s="3"/>
    </row>
    <row r="3723" ht="12.75">
      <c r="S3723" s="3"/>
    </row>
    <row r="3724" ht="12.75">
      <c r="S3724" s="3"/>
    </row>
    <row r="3725" ht="12.75">
      <c r="S3725" s="3"/>
    </row>
    <row r="3726" ht="12.75">
      <c r="S3726" s="3"/>
    </row>
    <row r="3727" ht="12.75">
      <c r="S3727" s="3"/>
    </row>
    <row r="3728" ht="12.75">
      <c r="S3728" s="3"/>
    </row>
    <row r="3729" ht="12.75">
      <c r="S3729" s="3"/>
    </row>
    <row r="3730" ht="12.75">
      <c r="S3730" s="3"/>
    </row>
    <row r="3731" ht="12.75">
      <c r="S3731" s="3"/>
    </row>
    <row r="3732" ht="12.75">
      <c r="S3732" s="3"/>
    </row>
    <row r="3733" ht="12.75">
      <c r="S3733" s="3"/>
    </row>
    <row r="3734" ht="12.75">
      <c r="S3734" s="3"/>
    </row>
    <row r="3735" ht="12.75">
      <c r="S3735" s="3"/>
    </row>
    <row r="3736" ht="12.75">
      <c r="S3736" s="3"/>
    </row>
    <row r="3737" ht="12.75">
      <c r="S3737" s="3"/>
    </row>
    <row r="3738" ht="12.75">
      <c r="S3738" s="3"/>
    </row>
    <row r="3739" ht="12.75">
      <c r="S3739" s="3"/>
    </row>
    <row r="3740" ht="12.75">
      <c r="S3740" s="3"/>
    </row>
    <row r="3741" ht="12.75">
      <c r="S3741" s="3"/>
    </row>
    <row r="3742" ht="12.75">
      <c r="S3742" s="3"/>
    </row>
    <row r="3743" ht="12.75">
      <c r="S3743" s="3"/>
    </row>
    <row r="3744" ht="12.75">
      <c r="S3744" s="3"/>
    </row>
    <row r="3745" ht="12.75">
      <c r="S3745" s="3"/>
    </row>
    <row r="3746" ht="12.75">
      <c r="S3746" s="3"/>
    </row>
    <row r="3747" ht="12.75">
      <c r="S3747" s="3"/>
    </row>
    <row r="3748" ht="12.75">
      <c r="S3748" s="3"/>
    </row>
    <row r="3749" ht="12.75">
      <c r="S3749" s="3"/>
    </row>
    <row r="3750" ht="12.75">
      <c r="S3750" s="3"/>
    </row>
    <row r="3751" ht="12.75">
      <c r="S3751" s="3"/>
    </row>
    <row r="3752" ht="12.75">
      <c r="S3752" s="3"/>
    </row>
    <row r="3753" ht="12.75">
      <c r="S3753" s="3"/>
    </row>
    <row r="3754" ht="12.75">
      <c r="S3754" s="3"/>
    </row>
    <row r="3755" ht="12.75">
      <c r="S3755" s="3"/>
    </row>
    <row r="3756" ht="12.75">
      <c r="S3756" s="3"/>
    </row>
    <row r="3757" ht="12.75">
      <c r="S3757" s="3"/>
    </row>
    <row r="3758" ht="12.75">
      <c r="S3758" s="3"/>
    </row>
    <row r="3759" ht="12.75">
      <c r="S3759" s="3"/>
    </row>
    <row r="3760" ht="12.75">
      <c r="S3760" s="3"/>
    </row>
    <row r="3761" ht="12.75">
      <c r="S3761" s="3"/>
    </row>
    <row r="3762" ht="12.75">
      <c r="S3762" s="3"/>
    </row>
    <row r="3763" ht="12.75">
      <c r="S3763" s="3"/>
    </row>
    <row r="3764" ht="12.75">
      <c r="S3764" s="3"/>
    </row>
    <row r="3765" ht="12.75">
      <c r="S3765" s="3"/>
    </row>
    <row r="3766" ht="12.75">
      <c r="S3766" s="3"/>
    </row>
    <row r="3767" ht="12.75">
      <c r="S3767" s="3"/>
    </row>
    <row r="3768" ht="12.75">
      <c r="S3768" s="3"/>
    </row>
    <row r="3769" ht="12.75">
      <c r="S3769" s="3"/>
    </row>
    <row r="3770" ht="12.75">
      <c r="S3770" s="3"/>
    </row>
    <row r="3771" ht="12.75">
      <c r="S3771" s="3"/>
    </row>
    <row r="3772" ht="12.75">
      <c r="S3772" s="3"/>
    </row>
    <row r="3773" ht="12.75">
      <c r="S3773" s="3"/>
    </row>
    <row r="3774" ht="12.75">
      <c r="S3774" s="3"/>
    </row>
    <row r="3775" ht="12.75">
      <c r="S3775" s="3"/>
    </row>
    <row r="3776" ht="12.75">
      <c r="S3776" s="3"/>
    </row>
    <row r="3777" ht="12.75">
      <c r="S3777" s="3"/>
    </row>
    <row r="3778" ht="12.75">
      <c r="S3778" s="3"/>
    </row>
    <row r="3779" ht="12.75">
      <c r="S3779" s="3"/>
    </row>
    <row r="3780" ht="12.75">
      <c r="S3780" s="3"/>
    </row>
    <row r="3781" ht="12.75">
      <c r="S3781" s="3"/>
    </row>
    <row r="3782" ht="12.75">
      <c r="S3782" s="3"/>
    </row>
    <row r="3783" ht="12.75">
      <c r="S3783" s="3"/>
    </row>
    <row r="3784" ht="12.75">
      <c r="S3784" s="3"/>
    </row>
    <row r="3785" ht="12.75">
      <c r="S3785" s="3"/>
    </row>
    <row r="3786" ht="12.75">
      <c r="S3786" s="3"/>
    </row>
    <row r="3787" ht="12.75">
      <c r="S3787" s="3"/>
    </row>
    <row r="3788" ht="12.75">
      <c r="S3788" s="3"/>
    </row>
    <row r="3789" ht="12.75">
      <c r="S3789" s="3"/>
    </row>
    <row r="3790" ht="12.75">
      <c r="S3790" s="3"/>
    </row>
    <row r="3791" ht="12.75">
      <c r="S3791" s="3"/>
    </row>
    <row r="3792" ht="12.75">
      <c r="S3792" s="3"/>
    </row>
    <row r="3793" ht="12.75">
      <c r="S3793" s="3"/>
    </row>
    <row r="3794" ht="12.75">
      <c r="S3794" s="3"/>
    </row>
    <row r="3795" ht="12.75">
      <c r="S3795" s="3"/>
    </row>
    <row r="3796" ht="12.75">
      <c r="S3796" s="3"/>
    </row>
    <row r="3797" ht="12.75">
      <c r="S3797" s="3"/>
    </row>
    <row r="3798" ht="12.75">
      <c r="S3798" s="3"/>
    </row>
    <row r="3799" ht="12.75">
      <c r="S3799" s="3"/>
    </row>
    <row r="3800" ht="12.75">
      <c r="S3800" s="3"/>
    </row>
    <row r="3801" ht="12.75">
      <c r="S3801" s="3"/>
    </row>
    <row r="3802" ht="12.75">
      <c r="S3802" s="3"/>
    </row>
    <row r="3803" ht="12.75">
      <c r="S3803" s="3"/>
    </row>
    <row r="3804" ht="12.75">
      <c r="S3804" s="3"/>
    </row>
    <row r="3805" ht="12.75">
      <c r="S3805" s="3"/>
    </row>
    <row r="3806" ht="12.75">
      <c r="S3806" s="3"/>
    </row>
    <row r="3807" ht="12.75">
      <c r="S3807" s="3"/>
    </row>
    <row r="3808" ht="12.75">
      <c r="S3808" s="3"/>
    </row>
    <row r="3809" ht="12.75">
      <c r="S3809" s="3"/>
    </row>
    <row r="3810" ht="12.75">
      <c r="S3810" s="3"/>
    </row>
    <row r="3811" ht="12.75">
      <c r="S3811" s="3"/>
    </row>
    <row r="3812" ht="12.75">
      <c r="S3812" s="3"/>
    </row>
    <row r="3813" ht="12.75">
      <c r="S3813" s="3"/>
    </row>
    <row r="3814" ht="12.75">
      <c r="S3814" s="3"/>
    </row>
    <row r="3815" ht="12.75">
      <c r="S3815" s="3"/>
    </row>
    <row r="3816" ht="12.75">
      <c r="S3816" s="3"/>
    </row>
    <row r="3817" ht="12.75">
      <c r="S3817" s="3"/>
    </row>
    <row r="3818" ht="12.75">
      <c r="S3818" s="3"/>
    </row>
    <row r="3819" ht="12.75">
      <c r="S3819" s="3"/>
    </row>
    <row r="3820" ht="12.75">
      <c r="S3820" s="3"/>
    </row>
    <row r="3821" ht="12.75">
      <c r="S3821" s="3"/>
    </row>
    <row r="3822" ht="12.75">
      <c r="S3822" s="3"/>
    </row>
    <row r="3823" ht="12.75">
      <c r="S3823" s="3"/>
    </row>
    <row r="3824" ht="12.75">
      <c r="S3824" s="3"/>
    </row>
    <row r="3825" ht="12.75">
      <c r="S3825" s="3"/>
    </row>
    <row r="3826" ht="12.75">
      <c r="S3826" s="3"/>
    </row>
    <row r="3827" ht="12.75">
      <c r="S3827" s="3"/>
    </row>
    <row r="3828" ht="12.75">
      <c r="S3828" s="3"/>
    </row>
    <row r="3829" ht="12.75">
      <c r="S3829" s="3"/>
    </row>
    <row r="3830" ht="12.75">
      <c r="S3830" s="3"/>
    </row>
    <row r="3831" ht="12.75">
      <c r="S3831" s="3"/>
    </row>
    <row r="3832" ht="12.75">
      <c r="S3832" s="3"/>
    </row>
    <row r="3833" ht="12.75">
      <c r="S3833" s="3"/>
    </row>
    <row r="3834" ht="12.75">
      <c r="S3834" s="3"/>
    </row>
    <row r="3835" ht="12.75">
      <c r="S3835" s="3"/>
    </row>
    <row r="3836" ht="12.75">
      <c r="S3836" s="3"/>
    </row>
    <row r="3837" ht="12.75">
      <c r="S3837" s="3"/>
    </row>
    <row r="3838" ht="12.75">
      <c r="S3838" s="3"/>
    </row>
    <row r="3839" ht="12.75">
      <c r="S3839" s="3"/>
    </row>
    <row r="3840" ht="12.75">
      <c r="S3840" s="3"/>
    </row>
    <row r="3841" ht="12.75">
      <c r="S3841" s="3"/>
    </row>
    <row r="3842" ht="12.75">
      <c r="S3842" s="3"/>
    </row>
    <row r="3843" ht="12.75">
      <c r="S3843" s="3"/>
    </row>
    <row r="3844" ht="12.75">
      <c r="S3844" s="3"/>
    </row>
    <row r="3845" ht="12.75">
      <c r="S3845" s="3"/>
    </row>
    <row r="3846" ht="12.75">
      <c r="S3846" s="3"/>
    </row>
    <row r="3847" ht="12.75">
      <c r="S3847" s="3"/>
    </row>
    <row r="3848" ht="12.75">
      <c r="S3848" s="3"/>
    </row>
    <row r="3849" ht="12.75">
      <c r="S3849" s="3"/>
    </row>
    <row r="3850" ht="12.75">
      <c r="S3850" s="3"/>
    </row>
    <row r="3851" ht="12.75">
      <c r="S3851" s="3"/>
    </row>
    <row r="3852" ht="12.75">
      <c r="S3852" s="3"/>
    </row>
    <row r="3853" ht="12.75">
      <c r="S3853" s="3"/>
    </row>
    <row r="3854" ht="12.75">
      <c r="S3854" s="3"/>
    </row>
    <row r="3855" ht="12.75">
      <c r="S3855" s="3"/>
    </row>
    <row r="3856" ht="12.75">
      <c r="S3856" s="3"/>
    </row>
    <row r="3857" ht="12.75">
      <c r="S3857" s="3"/>
    </row>
    <row r="3858" ht="12.75">
      <c r="S3858" s="3"/>
    </row>
    <row r="3859" ht="12.75">
      <c r="S3859" s="3"/>
    </row>
    <row r="3860" ht="12.75">
      <c r="S3860" s="3"/>
    </row>
    <row r="3861" ht="12.75">
      <c r="S3861" s="3"/>
    </row>
    <row r="3862" ht="12.75">
      <c r="S3862" s="3"/>
    </row>
    <row r="3863" ht="12.75">
      <c r="S3863" s="3"/>
    </row>
    <row r="3864" ht="12.75">
      <c r="S3864" s="3"/>
    </row>
    <row r="3865" ht="12.75">
      <c r="S3865" s="3"/>
    </row>
    <row r="3866" ht="12.75">
      <c r="S3866" s="3"/>
    </row>
    <row r="3867" ht="12.75">
      <c r="S3867" s="3"/>
    </row>
    <row r="3868" ht="12.75">
      <c r="S3868" s="3"/>
    </row>
    <row r="3869" ht="12.75">
      <c r="S3869" s="3"/>
    </row>
    <row r="3870" ht="12.75">
      <c r="S3870" s="3"/>
    </row>
    <row r="3871" ht="12.75">
      <c r="S3871" s="3"/>
    </row>
    <row r="3872" ht="12.75">
      <c r="S3872" s="3"/>
    </row>
    <row r="3873" ht="12.75">
      <c r="S3873" s="3"/>
    </row>
    <row r="3874" ht="12.75">
      <c r="S3874" s="3"/>
    </row>
    <row r="3875" ht="12.75">
      <c r="S3875" s="3"/>
    </row>
    <row r="3876" ht="12.75">
      <c r="S3876" s="3"/>
    </row>
    <row r="3877" ht="12.75">
      <c r="S3877" s="3"/>
    </row>
    <row r="3878" ht="12.75">
      <c r="S3878" s="3"/>
    </row>
    <row r="3879" ht="12.75">
      <c r="S3879" s="3"/>
    </row>
    <row r="3880" ht="12.75">
      <c r="S3880" s="3"/>
    </row>
    <row r="3881" ht="12.75">
      <c r="S3881" s="3"/>
    </row>
    <row r="3882" ht="12.75">
      <c r="S3882" s="3"/>
    </row>
    <row r="3883" ht="12.75">
      <c r="S3883" s="3"/>
    </row>
    <row r="3884" ht="12.75">
      <c r="S3884" s="3"/>
    </row>
    <row r="3885" ht="12.75">
      <c r="S3885" s="3"/>
    </row>
    <row r="3886" ht="12.75">
      <c r="S3886" s="3"/>
    </row>
    <row r="3887" ht="12.75">
      <c r="S3887" s="3"/>
    </row>
    <row r="3888" ht="12.75">
      <c r="S3888" s="3"/>
    </row>
    <row r="3889" ht="12.75">
      <c r="S3889" s="3"/>
    </row>
    <row r="3890" ht="12.75">
      <c r="S3890" s="3"/>
    </row>
    <row r="3891" ht="12.75">
      <c r="S3891" s="3"/>
    </row>
    <row r="3892" ht="12.75">
      <c r="S3892" s="3"/>
    </row>
    <row r="3893" ht="12.75">
      <c r="S3893" s="3"/>
    </row>
    <row r="3894" ht="12.75">
      <c r="S3894" s="3"/>
    </row>
    <row r="3895" ht="12.75">
      <c r="S3895" s="3"/>
    </row>
    <row r="3896" ht="12.75">
      <c r="S3896" s="3"/>
    </row>
    <row r="3897" ht="12.75">
      <c r="S3897" s="3"/>
    </row>
    <row r="3898" ht="12.75">
      <c r="S3898" s="3"/>
    </row>
    <row r="3899" ht="12.75">
      <c r="S3899" s="3"/>
    </row>
    <row r="3900" ht="12.75">
      <c r="S3900" s="3"/>
    </row>
    <row r="3901" ht="12.75">
      <c r="S3901" s="3"/>
    </row>
    <row r="3902" ht="12.75">
      <c r="S3902" s="3"/>
    </row>
    <row r="3903" ht="12.75">
      <c r="S3903" s="3"/>
    </row>
    <row r="3904" ht="12.75">
      <c r="S3904" s="3"/>
    </row>
    <row r="3905" ht="12.75">
      <c r="S3905" s="3"/>
    </row>
    <row r="3906" ht="12.75">
      <c r="S3906" s="3"/>
    </row>
    <row r="3907" ht="12.75">
      <c r="S3907" s="3"/>
    </row>
    <row r="3908" ht="12.75">
      <c r="S3908" s="3"/>
    </row>
    <row r="3909" ht="12.75">
      <c r="S3909" s="3"/>
    </row>
    <row r="3910" ht="12.75">
      <c r="S3910" s="3"/>
    </row>
    <row r="3911" ht="12.75">
      <c r="S3911" s="3"/>
    </row>
    <row r="3912" ht="12.75">
      <c r="S3912" s="3"/>
    </row>
    <row r="3913" ht="12.75">
      <c r="S3913" s="3"/>
    </row>
    <row r="3914" ht="12.75">
      <c r="S3914" s="3"/>
    </row>
    <row r="3915" ht="12.75">
      <c r="S3915" s="3"/>
    </row>
    <row r="3916" ht="12.75">
      <c r="S3916" s="3"/>
    </row>
    <row r="3917" ht="12.75">
      <c r="S3917" s="3"/>
    </row>
    <row r="3918" ht="12.75">
      <c r="S3918" s="3"/>
    </row>
    <row r="3919" ht="12.75">
      <c r="S3919" s="3"/>
    </row>
    <row r="3920" ht="12.75">
      <c r="S3920" s="3"/>
    </row>
    <row r="3921" ht="12.75">
      <c r="S3921" s="3"/>
    </row>
    <row r="3922" ht="12.75">
      <c r="S3922" s="3"/>
    </row>
    <row r="3923" ht="12.75">
      <c r="S3923" s="3"/>
    </row>
    <row r="3924" ht="12.75">
      <c r="S3924" s="3"/>
    </row>
    <row r="3925" ht="12.75">
      <c r="S3925" s="3"/>
    </row>
    <row r="3926" ht="12.75">
      <c r="S3926" s="3"/>
    </row>
    <row r="3927" ht="12.75">
      <c r="S3927" s="3"/>
    </row>
    <row r="3928" ht="12.75">
      <c r="S3928" s="3"/>
    </row>
    <row r="3929" ht="12.75">
      <c r="S3929" s="3"/>
    </row>
    <row r="3930" ht="12.75">
      <c r="S3930" s="3"/>
    </row>
    <row r="3931" ht="12.75">
      <c r="S3931" s="3"/>
    </row>
    <row r="3932" ht="12.75">
      <c r="S3932" s="3"/>
    </row>
    <row r="3933" ht="12.75">
      <c r="S3933" s="3"/>
    </row>
    <row r="3934" ht="12.75">
      <c r="S3934" s="3"/>
    </row>
    <row r="3935" ht="12.75">
      <c r="S3935" s="3"/>
    </row>
    <row r="3936" ht="12.75">
      <c r="S3936" s="3"/>
    </row>
    <row r="3937" ht="12.75">
      <c r="S3937" s="3"/>
    </row>
    <row r="3938" ht="12.75">
      <c r="S3938" s="3"/>
    </row>
    <row r="3939" ht="12.75">
      <c r="S3939" s="3"/>
    </row>
    <row r="3940" ht="12.75">
      <c r="S3940" s="3"/>
    </row>
    <row r="3941" ht="12.75">
      <c r="S3941" s="3"/>
    </row>
    <row r="3942" ht="12.75">
      <c r="S3942" s="3"/>
    </row>
    <row r="3943" ht="12.75">
      <c r="S3943" s="3"/>
    </row>
    <row r="3944" ht="12.75">
      <c r="S3944" s="3"/>
    </row>
    <row r="3945" ht="12.75">
      <c r="S3945" s="3"/>
    </row>
    <row r="3946" ht="12.75">
      <c r="S3946" s="3"/>
    </row>
    <row r="3947" ht="12.75">
      <c r="S3947" s="3"/>
    </row>
    <row r="3948" ht="12.75">
      <c r="S3948" s="3"/>
    </row>
    <row r="3949" ht="12.75">
      <c r="S3949" s="3"/>
    </row>
    <row r="3950" ht="12.75">
      <c r="S3950" s="3"/>
    </row>
    <row r="3951" ht="12.75">
      <c r="S3951" s="3"/>
    </row>
    <row r="3952" ht="12.75">
      <c r="S3952" s="3"/>
    </row>
    <row r="3953" ht="12.75">
      <c r="S3953" s="3"/>
    </row>
    <row r="3954" ht="12.75">
      <c r="S3954" s="3"/>
    </row>
    <row r="3955" ht="12.75">
      <c r="S3955" s="3"/>
    </row>
    <row r="3956" ht="12.75">
      <c r="S3956" s="3"/>
    </row>
    <row r="3957" ht="12.75">
      <c r="S3957" s="3"/>
    </row>
    <row r="3958" ht="12.75">
      <c r="S3958" s="3"/>
    </row>
    <row r="3959" ht="12.75">
      <c r="S3959" s="3"/>
    </row>
    <row r="3960" ht="12.75">
      <c r="S3960" s="3"/>
    </row>
    <row r="3961" ht="12.75">
      <c r="S3961" s="3"/>
    </row>
    <row r="3962" ht="12.75">
      <c r="S3962" s="3"/>
    </row>
    <row r="3963" ht="12.75">
      <c r="S3963" s="3"/>
    </row>
    <row r="3964" ht="12.75">
      <c r="S3964" s="3"/>
    </row>
    <row r="3965" ht="12.75">
      <c r="S3965" s="3"/>
    </row>
    <row r="3966" ht="12.75">
      <c r="S3966" s="3"/>
    </row>
    <row r="3967" ht="12.75">
      <c r="S3967" s="3"/>
    </row>
    <row r="3968" ht="12.75">
      <c r="S3968" s="3"/>
    </row>
    <row r="3969" ht="12.75">
      <c r="S3969" s="3"/>
    </row>
    <row r="3970" ht="12.75">
      <c r="S3970" s="3"/>
    </row>
    <row r="3971" ht="12.75">
      <c r="S3971" s="3"/>
    </row>
    <row r="3972" ht="12.75">
      <c r="S3972" s="3"/>
    </row>
    <row r="3973" ht="12.75">
      <c r="S3973" s="3"/>
    </row>
    <row r="3974" ht="12.75">
      <c r="S3974" s="3"/>
    </row>
    <row r="3975" ht="12.75">
      <c r="S3975" s="3"/>
    </row>
    <row r="3976" ht="12.75">
      <c r="S3976" s="3"/>
    </row>
    <row r="3977" ht="12.75">
      <c r="S3977" s="3"/>
    </row>
    <row r="3978" ht="12.75">
      <c r="S3978" s="3"/>
    </row>
    <row r="3979" ht="12.75">
      <c r="S3979" s="3"/>
    </row>
    <row r="3980" ht="12.75">
      <c r="S3980" s="3"/>
    </row>
    <row r="3981" ht="12.75">
      <c r="S3981" s="3"/>
    </row>
    <row r="3982" ht="12.75">
      <c r="S3982" s="3"/>
    </row>
    <row r="3983" ht="12.75">
      <c r="S3983" s="3"/>
    </row>
    <row r="3984" ht="12.75">
      <c r="S3984" s="3"/>
    </row>
    <row r="3985" ht="12.75">
      <c r="S3985" s="3"/>
    </row>
    <row r="3986" ht="12.75">
      <c r="S3986" s="3"/>
    </row>
    <row r="3987" ht="12.75">
      <c r="S3987" s="3"/>
    </row>
    <row r="3988" ht="12.75">
      <c r="S3988" s="3"/>
    </row>
    <row r="3989" ht="12.75">
      <c r="S3989" s="3"/>
    </row>
    <row r="3990" ht="12.75">
      <c r="S3990" s="3"/>
    </row>
    <row r="3991" ht="12.75">
      <c r="S3991" s="3"/>
    </row>
    <row r="3992" ht="12.75">
      <c r="S3992" s="3"/>
    </row>
    <row r="3993" ht="12.75">
      <c r="S3993" s="3"/>
    </row>
    <row r="3994" ht="12.75">
      <c r="S3994" s="3"/>
    </row>
    <row r="3995" ht="12.75">
      <c r="S3995" s="3"/>
    </row>
    <row r="3996" ht="12.75">
      <c r="S3996" s="3"/>
    </row>
    <row r="3997" ht="12.75">
      <c r="S3997" s="3"/>
    </row>
    <row r="3998" ht="12.75">
      <c r="S3998" s="3"/>
    </row>
    <row r="3999" ht="12.75">
      <c r="S3999" s="3"/>
    </row>
    <row r="4000" ht="12.75">
      <c r="S4000" s="3"/>
    </row>
    <row r="4001" ht="12.75">
      <c r="S4001" s="3"/>
    </row>
    <row r="4002" ht="12.75">
      <c r="S4002" s="3"/>
    </row>
    <row r="4003" ht="12.75">
      <c r="S4003" s="3"/>
    </row>
    <row r="4004" ht="12.75">
      <c r="S4004" s="3"/>
    </row>
    <row r="4005" ht="12.75">
      <c r="S4005" s="3"/>
    </row>
    <row r="4006" ht="12.75">
      <c r="S4006" s="3"/>
    </row>
    <row r="4007" ht="12.75">
      <c r="S4007" s="3"/>
    </row>
    <row r="4008" ht="12.75">
      <c r="S4008" s="3"/>
    </row>
    <row r="4009" ht="12.75">
      <c r="S4009" s="3"/>
    </row>
    <row r="4010" ht="12.75">
      <c r="S4010" s="3"/>
    </row>
    <row r="4011" ht="12.75">
      <c r="S4011" s="3"/>
    </row>
    <row r="4012" ht="12.75">
      <c r="S4012" s="3"/>
    </row>
    <row r="4013" ht="12.75">
      <c r="S4013" s="3"/>
    </row>
    <row r="4014" ht="12.75">
      <c r="S4014" s="3"/>
    </row>
    <row r="4015" ht="12.75">
      <c r="S4015" s="3"/>
    </row>
    <row r="4016" ht="12.75">
      <c r="S4016" s="3"/>
    </row>
  </sheetData>
  <mergeCells count="13">
    <mergeCell ref="A3:A4"/>
    <mergeCell ref="B3:B4"/>
    <mergeCell ref="C3:C4"/>
    <mergeCell ref="D3:D4"/>
    <mergeCell ref="E3:E4"/>
    <mergeCell ref="F3:F4"/>
    <mergeCell ref="G3:G4"/>
    <mergeCell ref="H3:H4"/>
    <mergeCell ref="T24:T25"/>
    <mergeCell ref="Q3:Q4"/>
    <mergeCell ref="R3:R4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57"/>
  <sheetViews>
    <sheetView workbookViewId="0" topLeftCell="A1">
      <selection activeCell="A211" sqref="A1:IV16384"/>
    </sheetView>
  </sheetViews>
  <sheetFormatPr defaultColWidth="9.140625" defaultRowHeight="12.75"/>
  <cols>
    <col min="1" max="1" width="3.7109375" style="70" customWidth="1"/>
    <col min="2" max="2" width="5.28125" style="70" customWidth="1"/>
    <col min="3" max="3" width="7.28125" style="70" customWidth="1"/>
    <col min="4" max="4" width="4.7109375" style="70" customWidth="1"/>
    <col min="5" max="5" width="32.00390625" style="70" customWidth="1"/>
    <col min="6" max="6" width="15.7109375" style="70" hidden="1" customWidth="1"/>
    <col min="7" max="7" width="13.421875" style="129" hidden="1" customWidth="1"/>
    <col min="8" max="8" width="12.00390625" style="70" hidden="1" customWidth="1"/>
    <col min="9" max="9" width="11.140625" style="70" hidden="1" customWidth="1"/>
    <col min="10" max="10" width="12.421875" style="70" hidden="1" customWidth="1"/>
    <col min="11" max="11" width="14.140625" style="70" hidden="1" customWidth="1"/>
    <col min="12" max="12" width="13.00390625" style="70" hidden="1" customWidth="1"/>
    <col min="13" max="13" width="15.140625" style="129" hidden="1" customWidth="1"/>
    <col min="14" max="15" width="12.140625" style="129" hidden="1" customWidth="1"/>
    <col min="16" max="16" width="15.421875" style="289" customWidth="1"/>
    <col min="17" max="17" width="11.28125" style="129" customWidth="1"/>
    <col min="18" max="18" width="14.7109375" style="331" customWidth="1"/>
    <col min="19" max="19" width="47.8515625" style="290" customWidth="1"/>
    <col min="20" max="16384" width="9.140625" style="70" customWidth="1"/>
  </cols>
  <sheetData>
    <row r="1" spans="2:19" ht="24.75" customHeight="1">
      <c r="B1" s="67" t="s">
        <v>23</v>
      </c>
      <c r="C1" s="68"/>
      <c r="D1" s="69"/>
      <c r="F1" s="71"/>
      <c r="G1" s="72"/>
      <c r="H1" s="71"/>
      <c r="I1" s="71"/>
      <c r="J1" s="71"/>
      <c r="K1" s="71"/>
      <c r="L1" s="71"/>
      <c r="M1" s="72"/>
      <c r="N1" s="72"/>
      <c r="O1" s="72"/>
      <c r="Q1" s="72"/>
      <c r="R1" s="289"/>
      <c r="S1" s="4" t="s">
        <v>273</v>
      </c>
    </row>
    <row r="2" spans="2:18" ht="6" customHeight="1" thickBot="1">
      <c r="B2" s="67"/>
      <c r="C2" s="68"/>
      <c r="D2" s="69"/>
      <c r="F2" s="71"/>
      <c r="G2" s="72"/>
      <c r="H2" s="71"/>
      <c r="I2" s="71"/>
      <c r="J2" s="71"/>
      <c r="K2" s="71"/>
      <c r="L2" s="71"/>
      <c r="M2" s="72"/>
      <c r="N2" s="72"/>
      <c r="O2" s="72"/>
      <c r="Q2" s="72"/>
      <c r="R2" s="289"/>
    </row>
    <row r="3" spans="2:19" s="73" customFormat="1" ht="15.75" customHeight="1">
      <c r="B3" s="443" t="s">
        <v>0</v>
      </c>
      <c r="C3" s="445" t="s">
        <v>24</v>
      </c>
      <c r="D3" s="445" t="s">
        <v>2</v>
      </c>
      <c r="E3" s="445" t="s">
        <v>3</v>
      </c>
      <c r="F3" s="220" t="s">
        <v>274</v>
      </c>
      <c r="G3" s="292" t="s">
        <v>5</v>
      </c>
      <c r="H3" s="291"/>
      <c r="I3" s="291"/>
      <c r="J3" s="291"/>
      <c r="K3" s="291"/>
      <c r="L3" s="291"/>
      <c r="M3" s="292"/>
      <c r="N3" s="292" t="s">
        <v>25</v>
      </c>
      <c r="O3" s="292"/>
      <c r="P3" s="220" t="s">
        <v>274</v>
      </c>
      <c r="Q3" s="222" t="s">
        <v>5</v>
      </c>
      <c r="R3" s="439" t="s">
        <v>275</v>
      </c>
      <c r="S3" s="441" t="s">
        <v>7</v>
      </c>
    </row>
    <row r="4" spans="2:19" s="74" customFormat="1" ht="37.5" customHeight="1" thickBot="1">
      <c r="B4" s="444"/>
      <c r="C4" s="446"/>
      <c r="D4" s="446"/>
      <c r="E4" s="446"/>
      <c r="F4" s="221"/>
      <c r="G4" s="293" t="s">
        <v>242</v>
      </c>
      <c r="H4" s="293" t="s">
        <v>243</v>
      </c>
      <c r="I4" s="293" t="s">
        <v>276</v>
      </c>
      <c r="J4" s="293" t="s">
        <v>244</v>
      </c>
      <c r="K4" s="293" t="s">
        <v>245</v>
      </c>
      <c r="L4" s="293" t="s">
        <v>246</v>
      </c>
      <c r="M4" s="293" t="s">
        <v>247</v>
      </c>
      <c r="N4" s="293" t="s">
        <v>277</v>
      </c>
      <c r="O4" s="293"/>
      <c r="P4" s="221"/>
      <c r="Q4" s="438"/>
      <c r="R4" s="440"/>
      <c r="S4" s="442"/>
    </row>
    <row r="5" spans="2:19" ht="13.5" customHeight="1">
      <c r="B5" s="294"/>
      <c r="C5" s="295"/>
      <c r="D5" s="295"/>
      <c r="E5" s="295"/>
      <c r="F5" s="295"/>
      <c r="G5" s="296"/>
      <c r="H5" s="296"/>
      <c r="I5" s="296"/>
      <c r="J5" s="296"/>
      <c r="K5" s="296"/>
      <c r="L5" s="296"/>
      <c r="M5" s="296"/>
      <c r="N5" s="296"/>
      <c r="O5" s="296"/>
      <c r="P5" s="295"/>
      <c r="Q5" s="296"/>
      <c r="R5" s="295"/>
      <c r="S5" s="297"/>
    </row>
    <row r="6" spans="2:19" ht="51" customHeight="1" hidden="1">
      <c r="B6" s="294"/>
      <c r="C6" s="295"/>
      <c r="D6" s="295"/>
      <c r="E6" s="295"/>
      <c r="F6" s="298" t="s">
        <v>73</v>
      </c>
      <c r="G6" s="296"/>
      <c r="H6" s="296"/>
      <c r="I6" s="296"/>
      <c r="J6" s="296"/>
      <c r="K6" s="296"/>
      <c r="L6" s="296"/>
      <c r="M6" s="296"/>
      <c r="N6" s="296"/>
      <c r="O6" s="296"/>
      <c r="P6" s="299"/>
      <c r="Q6" s="296"/>
      <c r="R6" s="295"/>
      <c r="S6" s="300"/>
    </row>
    <row r="7" spans="2:19" ht="12.75">
      <c r="B7" s="302" t="s">
        <v>27</v>
      </c>
      <c r="C7" s="37"/>
      <c r="D7" s="37"/>
      <c r="E7" s="38" t="s">
        <v>28</v>
      </c>
      <c r="F7" s="81">
        <f>F8+F12+F15+F17+F19</f>
        <v>366300</v>
      </c>
      <c r="G7" s="151">
        <f aca="true" t="shared" si="0" ref="G7:L7">G8+G12+G15+G17+G19</f>
        <v>20060</v>
      </c>
      <c r="H7" s="151">
        <f t="shared" si="0"/>
        <v>297290</v>
      </c>
      <c r="I7" s="151">
        <f t="shared" si="0"/>
        <v>0</v>
      </c>
      <c r="J7" s="151">
        <f t="shared" si="0"/>
        <v>527111</v>
      </c>
      <c r="K7" s="151">
        <f t="shared" si="0"/>
        <v>1020225</v>
      </c>
      <c r="L7" s="303">
        <f t="shared" si="0"/>
        <v>-263000</v>
      </c>
      <c r="M7" s="151">
        <f>M8+M12+M15+M17+M19</f>
        <v>25000</v>
      </c>
      <c r="N7" s="151">
        <f>N8+N12+N15+N17+N19</f>
        <v>0</v>
      </c>
      <c r="O7" s="151"/>
      <c r="P7" s="81">
        <f>P8+P12+P15+P17+P19</f>
        <v>1992986</v>
      </c>
      <c r="Q7" s="151">
        <f>Q8+Q12+Q15+Q17+Q19</f>
        <v>218118</v>
      </c>
      <c r="R7" s="81">
        <f>R8+R12+R15+R17+R19</f>
        <v>2211104</v>
      </c>
      <c r="S7" s="304"/>
    </row>
    <row r="8" spans="2:19" s="73" customFormat="1" ht="12.75">
      <c r="B8" s="39"/>
      <c r="C8" s="40" t="s">
        <v>278</v>
      </c>
      <c r="D8" s="27"/>
      <c r="E8" s="30" t="s">
        <v>279</v>
      </c>
      <c r="F8" s="83">
        <f>SUM(F9:F11)</f>
        <v>35000</v>
      </c>
      <c r="G8" s="84">
        <f aca="true" t="shared" si="1" ref="G8:L8">SUM(G9:G11)</f>
        <v>0</v>
      </c>
      <c r="H8" s="84">
        <f t="shared" si="1"/>
        <v>0</v>
      </c>
      <c r="I8" s="84">
        <f t="shared" si="1"/>
        <v>0</v>
      </c>
      <c r="J8" s="84">
        <f t="shared" si="1"/>
        <v>0</v>
      </c>
      <c r="K8" s="84">
        <f t="shared" si="1"/>
        <v>0</v>
      </c>
      <c r="L8" s="84">
        <f t="shared" si="1"/>
        <v>0</v>
      </c>
      <c r="M8" s="84">
        <f>SUM(M9:M11)</f>
        <v>25000</v>
      </c>
      <c r="N8" s="84">
        <f>SUM(N9:N11)</f>
        <v>0</v>
      </c>
      <c r="O8" s="84"/>
      <c r="P8" s="58">
        <f>SUM(P9:P11)</f>
        <v>60000</v>
      </c>
      <c r="Q8" s="84">
        <f>SUM(Q9:Q11)</f>
        <v>0</v>
      </c>
      <c r="R8" s="149">
        <f>SUM(R9:R11)</f>
        <v>60000</v>
      </c>
      <c r="S8" s="305"/>
    </row>
    <row r="9" spans="2:19" s="73" customFormat="1" ht="12.75">
      <c r="B9" s="39"/>
      <c r="C9" s="43"/>
      <c r="D9" s="44">
        <v>4210</v>
      </c>
      <c r="E9" s="45" t="s">
        <v>29</v>
      </c>
      <c r="F9" s="66">
        <v>4000</v>
      </c>
      <c r="G9" s="111"/>
      <c r="H9" s="111"/>
      <c r="I9" s="111"/>
      <c r="J9" s="111"/>
      <c r="K9" s="111"/>
      <c r="L9" s="111"/>
      <c r="M9" s="150">
        <v>-2000</v>
      </c>
      <c r="N9" s="150"/>
      <c r="O9" s="111"/>
      <c r="P9" s="56">
        <f>F9+G9+H9+I9+J9+K9+L9+M9+N9+O9</f>
        <v>2000</v>
      </c>
      <c r="Q9" s="111"/>
      <c r="R9" s="306">
        <f>P9+Q9</f>
        <v>2000</v>
      </c>
      <c r="S9" s="307"/>
    </row>
    <row r="10" spans="2:19" s="73" customFormat="1" ht="12.75" customHeight="1">
      <c r="B10" s="39"/>
      <c r="C10" s="43"/>
      <c r="D10" s="44">
        <v>4270</v>
      </c>
      <c r="E10" s="45" t="s">
        <v>30</v>
      </c>
      <c r="F10" s="66">
        <v>30000</v>
      </c>
      <c r="G10" s="111"/>
      <c r="H10" s="111"/>
      <c r="I10" s="111"/>
      <c r="J10" s="111"/>
      <c r="K10" s="111"/>
      <c r="L10" s="111"/>
      <c r="M10" s="111">
        <v>25000</v>
      </c>
      <c r="N10" s="111"/>
      <c r="O10" s="111"/>
      <c r="P10" s="56">
        <f>F10+G10+H10+I10+J10+K10+L10+M10+N10+O10</f>
        <v>55000</v>
      </c>
      <c r="Q10" s="111"/>
      <c r="R10" s="306">
        <f aca="true" t="shared" si="2" ref="R10:R22">P10+Q10</f>
        <v>55000</v>
      </c>
      <c r="S10" s="307"/>
    </row>
    <row r="11" spans="2:19" s="73" customFormat="1" ht="12.75">
      <c r="B11" s="39"/>
      <c r="C11" s="43"/>
      <c r="D11" s="44">
        <v>4300</v>
      </c>
      <c r="E11" s="45" t="s">
        <v>31</v>
      </c>
      <c r="F11" s="66">
        <v>1000</v>
      </c>
      <c r="G11" s="111"/>
      <c r="H11" s="111"/>
      <c r="I11" s="111"/>
      <c r="J11" s="111"/>
      <c r="K11" s="111"/>
      <c r="L11" s="111"/>
      <c r="M11" s="111">
        <v>2000</v>
      </c>
      <c r="N11" s="111"/>
      <c r="O11" s="111"/>
      <c r="P11" s="56">
        <f>F11+G11+H11+I11+J11+K11+L11+M11+N11+O11</f>
        <v>3000</v>
      </c>
      <c r="Q11" s="111"/>
      <c r="R11" s="306">
        <f t="shared" si="2"/>
        <v>3000</v>
      </c>
      <c r="S11" s="307"/>
    </row>
    <row r="12" spans="2:19" s="73" customFormat="1" ht="25.5">
      <c r="B12" s="39"/>
      <c r="C12" s="40" t="s">
        <v>32</v>
      </c>
      <c r="D12" s="27"/>
      <c r="E12" s="30" t="s">
        <v>33</v>
      </c>
      <c r="F12" s="83">
        <f>SUM(F13:F14)</f>
        <v>259500</v>
      </c>
      <c r="G12" s="84">
        <f aca="true" t="shared" si="3" ref="G12:L12">SUM(G13:G14)</f>
        <v>20060</v>
      </c>
      <c r="H12" s="84">
        <f t="shared" si="3"/>
        <v>297290</v>
      </c>
      <c r="I12" s="84">
        <f t="shared" si="3"/>
        <v>0</v>
      </c>
      <c r="J12" s="84">
        <f t="shared" si="3"/>
        <v>369454</v>
      </c>
      <c r="K12" s="84">
        <f t="shared" si="3"/>
        <v>1020225</v>
      </c>
      <c r="L12" s="308">
        <f t="shared" si="3"/>
        <v>-263000</v>
      </c>
      <c r="M12" s="84">
        <f>SUM(M13:M14)</f>
        <v>0</v>
      </c>
      <c r="N12" s="84">
        <f>SUM(N13:N14)</f>
        <v>0</v>
      </c>
      <c r="O12" s="84"/>
      <c r="P12" s="58">
        <f>SUM(P13:P14)</f>
        <v>1703529</v>
      </c>
      <c r="Q12" s="84">
        <f>SUM(Q13:Q14)</f>
        <v>116742</v>
      </c>
      <c r="R12" s="149">
        <f>SUM(R13:R14)</f>
        <v>1820271</v>
      </c>
      <c r="S12" s="305"/>
    </row>
    <row r="13" spans="2:19" s="73" customFormat="1" ht="12.75">
      <c r="B13" s="39"/>
      <c r="C13" s="40"/>
      <c r="D13" s="44">
        <v>4300</v>
      </c>
      <c r="E13" s="45" t="s">
        <v>31</v>
      </c>
      <c r="F13" s="66">
        <v>30000</v>
      </c>
      <c r="G13" s="111"/>
      <c r="H13" s="111"/>
      <c r="I13" s="111"/>
      <c r="J13" s="111"/>
      <c r="K13" s="111"/>
      <c r="L13" s="111"/>
      <c r="M13" s="111"/>
      <c r="N13" s="111"/>
      <c r="O13" s="111"/>
      <c r="P13" s="56">
        <f>F13+G13+H13+I13+J13+K13+L13+M13+N13+O13</f>
        <v>30000</v>
      </c>
      <c r="Q13" s="111"/>
      <c r="R13" s="306">
        <f t="shared" si="2"/>
        <v>30000</v>
      </c>
      <c r="S13" s="307"/>
    </row>
    <row r="14" spans="2:19" s="73" customFormat="1" ht="124.5" customHeight="1">
      <c r="B14" s="46"/>
      <c r="C14" s="43"/>
      <c r="D14" s="44">
        <v>6050</v>
      </c>
      <c r="E14" s="45" t="s">
        <v>34</v>
      </c>
      <c r="F14" s="89">
        <f>30000+10000+70000+31500+9000+24000+55000</f>
        <v>229500</v>
      </c>
      <c r="G14" s="91">
        <f>3500+12000+4560</f>
        <v>20060</v>
      </c>
      <c r="H14" s="91">
        <f>290440+6850</f>
        <v>297290</v>
      </c>
      <c r="I14" s="91"/>
      <c r="J14" s="91">
        <f>324000+19154+25000+1300</f>
        <v>369454</v>
      </c>
      <c r="K14" s="91">
        <f>20225+1000000</f>
        <v>1020225</v>
      </c>
      <c r="L14" s="309">
        <v>-263000</v>
      </c>
      <c r="M14" s="91"/>
      <c r="N14" s="91"/>
      <c r="O14" s="91"/>
      <c r="P14" s="56">
        <f>F14+G14+H14+I14+J14+K14+L14+M14+N14+O14</f>
        <v>1673529</v>
      </c>
      <c r="Q14" s="91">
        <f>60000+28000+5300+3000+10500+3000+16000+366-6000-3424</f>
        <v>116742</v>
      </c>
      <c r="R14" s="306">
        <f t="shared" si="2"/>
        <v>1790271</v>
      </c>
      <c r="S14" s="310" t="s">
        <v>280</v>
      </c>
    </row>
    <row r="15" spans="2:19" s="73" customFormat="1" ht="63.75">
      <c r="B15" s="39"/>
      <c r="C15" s="40" t="s">
        <v>281</v>
      </c>
      <c r="D15" s="27"/>
      <c r="E15" s="30" t="s">
        <v>282</v>
      </c>
      <c r="F15" s="83">
        <f>SUM(F16:F16)</f>
        <v>7700</v>
      </c>
      <c r="G15" s="84">
        <f aca="true" t="shared" si="4" ref="G15:N15">SUM(G16:G16)</f>
        <v>0</v>
      </c>
      <c r="H15" s="84">
        <f t="shared" si="4"/>
        <v>0</v>
      </c>
      <c r="I15" s="84">
        <f t="shared" si="4"/>
        <v>0</v>
      </c>
      <c r="J15" s="84">
        <f t="shared" si="4"/>
        <v>0</v>
      </c>
      <c r="K15" s="84">
        <f t="shared" si="4"/>
        <v>0</v>
      </c>
      <c r="L15" s="84">
        <f t="shared" si="4"/>
        <v>0</v>
      </c>
      <c r="M15" s="84">
        <f t="shared" si="4"/>
        <v>0</v>
      </c>
      <c r="N15" s="84">
        <f t="shared" si="4"/>
        <v>0</v>
      </c>
      <c r="O15" s="84"/>
      <c r="P15" s="58">
        <f>SUM(P16:P16)</f>
        <v>7700</v>
      </c>
      <c r="Q15" s="84">
        <f>SUM(Q16:Q16)</f>
        <v>0</v>
      </c>
      <c r="R15" s="149">
        <f>SUM(R16:R16)</f>
        <v>7700</v>
      </c>
      <c r="S15" s="305"/>
    </row>
    <row r="16" spans="2:19" s="73" customFormat="1" ht="12.75">
      <c r="B16" s="39"/>
      <c r="C16" s="44"/>
      <c r="D16" s="44">
        <v>4300</v>
      </c>
      <c r="E16" s="45" t="s">
        <v>31</v>
      </c>
      <c r="F16" s="66">
        <v>7700</v>
      </c>
      <c r="G16" s="111"/>
      <c r="H16" s="111"/>
      <c r="I16" s="111"/>
      <c r="J16" s="111"/>
      <c r="K16" s="111"/>
      <c r="L16" s="111"/>
      <c r="M16" s="111"/>
      <c r="N16" s="111"/>
      <c r="O16" s="111"/>
      <c r="P16" s="56">
        <f>F16+G16+H16+I16+J16+K16+L16+M16+N16+O16</f>
        <v>7700</v>
      </c>
      <c r="Q16" s="111"/>
      <c r="R16" s="306">
        <f t="shared" si="2"/>
        <v>7700</v>
      </c>
      <c r="S16" s="307"/>
    </row>
    <row r="17" spans="2:19" s="73" customFormat="1" ht="12.75">
      <c r="B17" s="39"/>
      <c r="C17" s="40" t="s">
        <v>283</v>
      </c>
      <c r="D17" s="44"/>
      <c r="E17" s="30" t="s">
        <v>284</v>
      </c>
      <c r="F17" s="83">
        <f aca="true" t="shared" si="5" ref="F17:N17">SUM(F18)</f>
        <v>16100</v>
      </c>
      <c r="G17" s="84">
        <f t="shared" si="5"/>
        <v>0</v>
      </c>
      <c r="H17" s="84">
        <f t="shared" si="5"/>
        <v>0</v>
      </c>
      <c r="I17" s="84">
        <f t="shared" si="5"/>
        <v>0</v>
      </c>
      <c r="J17" s="84">
        <f t="shared" si="5"/>
        <v>0</v>
      </c>
      <c r="K17" s="84">
        <f t="shared" si="5"/>
        <v>0</v>
      </c>
      <c r="L17" s="84">
        <f t="shared" si="5"/>
        <v>0</v>
      </c>
      <c r="M17" s="84">
        <f t="shared" si="5"/>
        <v>0</v>
      </c>
      <c r="N17" s="84">
        <f t="shared" si="5"/>
        <v>0</v>
      </c>
      <c r="O17" s="84"/>
      <c r="P17" s="58">
        <f>SUM(P18)</f>
        <v>16100</v>
      </c>
      <c r="Q17" s="84">
        <f>SUM(Q18)</f>
        <v>0</v>
      </c>
      <c r="R17" s="149">
        <f>SUM(R18)</f>
        <v>16100</v>
      </c>
      <c r="S17" s="305"/>
    </row>
    <row r="18" spans="2:19" s="73" customFormat="1" ht="38.25">
      <c r="B18" s="39"/>
      <c r="C18" s="44"/>
      <c r="D18" s="44">
        <v>2850</v>
      </c>
      <c r="E18" s="45" t="s">
        <v>285</v>
      </c>
      <c r="F18" s="66">
        <v>16100</v>
      </c>
      <c r="G18" s="111"/>
      <c r="H18" s="111"/>
      <c r="I18" s="111"/>
      <c r="J18" s="111"/>
      <c r="K18" s="111"/>
      <c r="L18" s="111"/>
      <c r="M18" s="111"/>
      <c r="N18" s="111"/>
      <c r="O18" s="111"/>
      <c r="P18" s="56">
        <f>F18+G18+H18+I18+J18+K18+L18+M18+N18+O18</f>
        <v>16100</v>
      </c>
      <c r="Q18" s="111"/>
      <c r="R18" s="306">
        <f t="shared" si="2"/>
        <v>16100</v>
      </c>
      <c r="S18" s="307"/>
    </row>
    <row r="19" spans="2:19" s="73" customFormat="1" ht="12.75">
      <c r="B19" s="39"/>
      <c r="C19" s="40" t="s">
        <v>35</v>
      </c>
      <c r="D19" s="27"/>
      <c r="E19" s="30" t="s">
        <v>21</v>
      </c>
      <c r="F19" s="83">
        <f>F21+F20</f>
        <v>48000</v>
      </c>
      <c r="G19" s="84">
        <f aca="true" t="shared" si="6" ref="G19:L19">G21+G20</f>
        <v>0</v>
      </c>
      <c r="H19" s="84">
        <f t="shared" si="6"/>
        <v>0</v>
      </c>
      <c r="I19" s="84">
        <f t="shared" si="6"/>
        <v>0</v>
      </c>
      <c r="J19" s="84">
        <f>J21+J20+J22</f>
        <v>157657</v>
      </c>
      <c r="K19" s="84">
        <f>K21+K20</f>
        <v>0</v>
      </c>
      <c r="L19" s="84">
        <f t="shared" si="6"/>
        <v>0</v>
      </c>
      <c r="M19" s="84">
        <f>M21+M20</f>
        <v>0</v>
      </c>
      <c r="N19" s="84">
        <f>N21+N20</f>
        <v>0</v>
      </c>
      <c r="O19" s="84"/>
      <c r="P19" s="58">
        <f>P21+P20+P22</f>
        <v>205657</v>
      </c>
      <c r="Q19" s="84">
        <f>Q21+Q20+Q22</f>
        <v>101376</v>
      </c>
      <c r="R19" s="149">
        <f>R21+R20+R22</f>
        <v>307033</v>
      </c>
      <c r="S19" s="305"/>
    </row>
    <row r="20" spans="2:19" s="73" customFormat="1" ht="16.5" customHeight="1">
      <c r="B20" s="39"/>
      <c r="C20" s="40"/>
      <c r="D20" s="44">
        <v>4210</v>
      </c>
      <c r="E20" s="45" t="s">
        <v>29</v>
      </c>
      <c r="F20" s="66">
        <v>8000</v>
      </c>
      <c r="G20" s="111"/>
      <c r="H20" s="111"/>
      <c r="I20" s="111"/>
      <c r="J20" s="111">
        <v>1091</v>
      </c>
      <c r="K20" s="111"/>
      <c r="L20" s="111"/>
      <c r="M20" s="111"/>
      <c r="N20" s="111"/>
      <c r="O20" s="111"/>
      <c r="P20" s="56">
        <f>F20+G20+H20+I20+J20+K20+L20+M20+N20+O20</f>
        <v>9091</v>
      </c>
      <c r="Q20" s="111">
        <v>988</v>
      </c>
      <c r="R20" s="306">
        <f t="shared" si="2"/>
        <v>10079</v>
      </c>
      <c r="S20" s="435" t="s">
        <v>286</v>
      </c>
    </row>
    <row r="21" spans="2:19" s="73" customFormat="1" ht="19.5" customHeight="1">
      <c r="B21" s="39"/>
      <c r="C21" s="44"/>
      <c r="D21" s="44">
        <v>4300</v>
      </c>
      <c r="E21" s="45" t="s">
        <v>31</v>
      </c>
      <c r="F21" s="66">
        <v>40000</v>
      </c>
      <c r="G21" s="111"/>
      <c r="H21" s="111"/>
      <c r="I21" s="111"/>
      <c r="J21" s="111">
        <v>2000</v>
      </c>
      <c r="K21" s="111"/>
      <c r="L21" s="111"/>
      <c r="M21" s="111"/>
      <c r="N21" s="111"/>
      <c r="O21" s="111"/>
      <c r="P21" s="56">
        <f>F21+G21+H21+I21+J21+K21+L21+M21+N21+O21</f>
        <v>42000</v>
      </c>
      <c r="Q21" s="111">
        <v>1000</v>
      </c>
      <c r="R21" s="306">
        <f t="shared" si="2"/>
        <v>43000</v>
      </c>
      <c r="S21" s="301"/>
    </row>
    <row r="22" spans="2:19" s="73" customFormat="1" ht="21" customHeight="1">
      <c r="B22" s="39"/>
      <c r="C22" s="44"/>
      <c r="D22" s="15">
        <v>4430</v>
      </c>
      <c r="E22" s="17" t="s">
        <v>36</v>
      </c>
      <c r="F22" s="66"/>
      <c r="G22" s="111"/>
      <c r="H22" s="111"/>
      <c r="I22" s="111"/>
      <c r="J22" s="111">
        <v>154566</v>
      </c>
      <c r="K22" s="111"/>
      <c r="L22" s="111"/>
      <c r="M22" s="111"/>
      <c r="N22" s="111"/>
      <c r="O22" s="111"/>
      <c r="P22" s="56">
        <f>F22+G22+H22+I22+J22+K22+L22+M22+N22+O22</f>
        <v>154566</v>
      </c>
      <c r="Q22" s="111">
        <v>99388</v>
      </c>
      <c r="R22" s="306">
        <f t="shared" si="2"/>
        <v>253954</v>
      </c>
      <c r="S22" s="219"/>
    </row>
    <row r="23" spans="2:19" s="73" customFormat="1" ht="12.75">
      <c r="B23" s="47">
        <v>600</v>
      </c>
      <c r="C23" s="48"/>
      <c r="D23" s="48"/>
      <c r="E23" s="49" t="s">
        <v>37</v>
      </c>
      <c r="F23" s="92">
        <f>F28+F24</f>
        <v>410000</v>
      </c>
      <c r="G23" s="93">
        <f aca="true" t="shared" si="7" ref="G23:P23">G28+G24</f>
        <v>2485</v>
      </c>
      <c r="H23" s="93">
        <f t="shared" si="7"/>
        <v>128000</v>
      </c>
      <c r="I23" s="93">
        <f t="shared" si="7"/>
        <v>0</v>
      </c>
      <c r="J23" s="93">
        <f t="shared" si="7"/>
        <v>467200</v>
      </c>
      <c r="K23" s="93">
        <f t="shared" si="7"/>
        <v>537154</v>
      </c>
      <c r="L23" s="311">
        <f t="shared" si="7"/>
        <v>-20000</v>
      </c>
      <c r="M23" s="311">
        <f>M28+M24</f>
        <v>-147000</v>
      </c>
      <c r="N23" s="311">
        <f>N28+N24</f>
        <v>0</v>
      </c>
      <c r="O23" s="311"/>
      <c r="P23" s="92">
        <f t="shared" si="7"/>
        <v>1377839</v>
      </c>
      <c r="Q23" s="311">
        <f>Q28+Q24</f>
        <v>-27982</v>
      </c>
      <c r="R23" s="92">
        <f>R28+R24</f>
        <v>1349857</v>
      </c>
      <c r="S23" s="312"/>
    </row>
    <row r="24" spans="2:19" s="96" customFormat="1" ht="12.75">
      <c r="B24" s="50"/>
      <c r="C24" s="27">
        <v>60014</v>
      </c>
      <c r="D24" s="27"/>
      <c r="E24" s="30" t="s">
        <v>38</v>
      </c>
      <c r="F24" s="58">
        <f>F25</f>
        <v>130000</v>
      </c>
      <c r="G24" s="59">
        <f>G25+G27</f>
        <v>2485</v>
      </c>
      <c r="H24" s="59">
        <f>H25+H26+H27</f>
        <v>128000</v>
      </c>
      <c r="I24" s="59">
        <f>I25</f>
        <v>0</v>
      </c>
      <c r="J24" s="59">
        <f>J25</f>
        <v>0</v>
      </c>
      <c r="K24" s="59">
        <f>K26+K25+K27</f>
        <v>19354</v>
      </c>
      <c r="L24" s="59">
        <f>L25</f>
        <v>0</v>
      </c>
      <c r="M24" s="59">
        <f>M25</f>
        <v>0</v>
      </c>
      <c r="N24" s="59">
        <f>N25</f>
        <v>0</v>
      </c>
      <c r="O24" s="313"/>
      <c r="P24" s="58">
        <f>P26+P25+P27</f>
        <v>279839</v>
      </c>
      <c r="Q24" s="313">
        <f>Q25</f>
        <v>-10982</v>
      </c>
      <c r="R24" s="149">
        <f>R26+R25+R27</f>
        <v>268857</v>
      </c>
      <c r="S24" s="305"/>
    </row>
    <row r="25" spans="2:19" s="96" customFormat="1" ht="63.75">
      <c r="B25" s="50"/>
      <c r="C25" s="27"/>
      <c r="D25" s="44">
        <v>2710</v>
      </c>
      <c r="E25" s="45" t="s">
        <v>39</v>
      </c>
      <c r="F25" s="56">
        <v>130000</v>
      </c>
      <c r="G25" s="60"/>
      <c r="H25" s="314">
        <v>-2000</v>
      </c>
      <c r="I25" s="60"/>
      <c r="J25" s="60"/>
      <c r="K25" s="60"/>
      <c r="L25" s="60"/>
      <c r="M25" s="60"/>
      <c r="N25" s="60"/>
      <c r="O25" s="314"/>
      <c r="P25" s="56">
        <f>F25+G25+H25+I25+J25+K25+L25+M25+N25+O25</f>
        <v>128000</v>
      </c>
      <c r="Q25" s="314">
        <v>-10982</v>
      </c>
      <c r="R25" s="306">
        <f aca="true" t="shared" si="8" ref="R25:R30">P25+Q25</f>
        <v>117018</v>
      </c>
      <c r="S25" s="315" t="s">
        <v>287</v>
      </c>
    </row>
    <row r="26" spans="2:19" s="96" customFormat="1" ht="76.5">
      <c r="B26" s="50"/>
      <c r="C26" s="44"/>
      <c r="D26" s="44">
        <v>6300</v>
      </c>
      <c r="E26" s="45" t="s">
        <v>40</v>
      </c>
      <c r="F26" s="56"/>
      <c r="G26" s="60"/>
      <c r="H26" s="60">
        <v>130000</v>
      </c>
      <c r="I26" s="60"/>
      <c r="J26" s="60"/>
      <c r="K26" s="60">
        <v>19354</v>
      </c>
      <c r="L26" s="60"/>
      <c r="M26" s="60"/>
      <c r="N26" s="60"/>
      <c r="O26" s="60"/>
      <c r="P26" s="56">
        <f>F26+G26+H26+I26+J26+K26+L26+M26+N26+O26</f>
        <v>149354</v>
      </c>
      <c r="Q26" s="60"/>
      <c r="R26" s="306">
        <f t="shared" si="8"/>
        <v>149354</v>
      </c>
      <c r="S26" s="307"/>
    </row>
    <row r="27" spans="2:19" s="96" customFormat="1" ht="12.75">
      <c r="B27" s="50"/>
      <c r="C27" s="44"/>
      <c r="D27" s="44">
        <v>8550</v>
      </c>
      <c r="E27" s="45" t="s">
        <v>288</v>
      </c>
      <c r="F27" s="56"/>
      <c r="G27" s="60">
        <v>2485</v>
      </c>
      <c r="H27" s="60"/>
      <c r="I27" s="60"/>
      <c r="J27" s="60"/>
      <c r="K27" s="60"/>
      <c r="L27" s="60"/>
      <c r="M27" s="60"/>
      <c r="N27" s="60"/>
      <c r="O27" s="60"/>
      <c r="P27" s="56">
        <f>F27+G27+H27+I27+J27+K27+L27+M27+N27+O27</f>
        <v>2485</v>
      </c>
      <c r="Q27" s="60"/>
      <c r="R27" s="306">
        <f t="shared" si="8"/>
        <v>2485</v>
      </c>
      <c r="S27" s="307"/>
    </row>
    <row r="28" spans="2:19" s="73" customFormat="1" ht="12.75" customHeight="1">
      <c r="B28" s="39"/>
      <c r="C28" s="27">
        <v>60016</v>
      </c>
      <c r="D28" s="27"/>
      <c r="E28" s="30" t="s">
        <v>41</v>
      </c>
      <c r="F28" s="83">
        <f>SUM(F30:F30)</f>
        <v>280000</v>
      </c>
      <c r="G28" s="84">
        <f aca="true" t="shared" si="9" ref="G28:L28">SUM(G30:G30)</f>
        <v>0</v>
      </c>
      <c r="H28" s="84">
        <f t="shared" si="9"/>
        <v>0</v>
      </c>
      <c r="I28" s="84">
        <f t="shared" si="9"/>
        <v>0</v>
      </c>
      <c r="J28" s="84">
        <f t="shared" si="9"/>
        <v>467200</v>
      </c>
      <c r="K28" s="84">
        <f>SUM(K29:K30)</f>
        <v>517800</v>
      </c>
      <c r="L28" s="308">
        <f t="shared" si="9"/>
        <v>-20000</v>
      </c>
      <c r="M28" s="308">
        <f>SUM(M30:M30)</f>
        <v>-147000</v>
      </c>
      <c r="N28" s="84">
        <f>SUM(N30:N30)</f>
        <v>0</v>
      </c>
      <c r="O28" s="308"/>
      <c r="P28" s="58">
        <f>SUM(P29:P30)</f>
        <v>1098000</v>
      </c>
      <c r="Q28" s="308">
        <f>SUM(Q30:Q30)</f>
        <v>-17000</v>
      </c>
      <c r="R28" s="149">
        <f>SUM(R29:R30)</f>
        <v>1081000</v>
      </c>
      <c r="S28" s="305"/>
    </row>
    <row r="29" spans="2:19" s="73" customFormat="1" ht="12.75">
      <c r="B29" s="39"/>
      <c r="C29" s="27"/>
      <c r="D29" s="44">
        <v>4300</v>
      </c>
      <c r="E29" s="45" t="s">
        <v>31</v>
      </c>
      <c r="F29" s="83"/>
      <c r="G29" s="84"/>
      <c r="H29" s="84"/>
      <c r="I29" s="84"/>
      <c r="J29" s="84"/>
      <c r="K29" s="111">
        <v>50000</v>
      </c>
      <c r="L29" s="84"/>
      <c r="M29" s="308"/>
      <c r="N29" s="308"/>
      <c r="O29" s="308"/>
      <c r="P29" s="56">
        <f>F29+G29+H29+I29+J29+K29+L29+M29+N29+O29</f>
        <v>50000</v>
      </c>
      <c r="Q29" s="308"/>
      <c r="R29" s="306">
        <f t="shared" si="8"/>
        <v>50000</v>
      </c>
      <c r="S29" s="307"/>
    </row>
    <row r="30" spans="2:19" s="73" customFormat="1" ht="27.75" customHeight="1">
      <c r="B30" s="46"/>
      <c r="C30" s="43"/>
      <c r="D30" s="44">
        <v>6050</v>
      </c>
      <c r="E30" s="45" t="s">
        <v>34</v>
      </c>
      <c r="F30" s="66">
        <f>240000+40000</f>
        <v>280000</v>
      </c>
      <c r="G30" s="111"/>
      <c r="H30" s="111"/>
      <c r="I30" s="111"/>
      <c r="J30" s="111">
        <f>57200+250000+160000</f>
        <v>467200</v>
      </c>
      <c r="K30" s="111">
        <v>467800</v>
      </c>
      <c r="L30" s="150">
        <v>-20000</v>
      </c>
      <c r="M30" s="150">
        <f>8000-175000+20000</f>
        <v>-147000</v>
      </c>
      <c r="N30" s="150"/>
      <c r="O30" s="150"/>
      <c r="P30" s="56">
        <f>F30+G30+H30+I30+J30+K30+L30+M30+N30+O30</f>
        <v>1048000</v>
      </c>
      <c r="Q30" s="150">
        <f>3000-20000</f>
        <v>-17000</v>
      </c>
      <c r="R30" s="306">
        <f t="shared" si="8"/>
        <v>1031000</v>
      </c>
      <c r="S30" s="315" t="s">
        <v>289</v>
      </c>
    </row>
    <row r="31" spans="2:19" s="73" customFormat="1" ht="12.75">
      <c r="B31" s="47">
        <v>700</v>
      </c>
      <c r="C31" s="48"/>
      <c r="D31" s="48"/>
      <c r="E31" s="49" t="s">
        <v>8</v>
      </c>
      <c r="F31" s="92">
        <f>F35+F32</f>
        <v>1154300</v>
      </c>
      <c r="G31" s="311">
        <f aca="true" t="shared" si="10" ref="G31:P31">G35+G32</f>
        <v>-7735</v>
      </c>
      <c r="H31" s="311">
        <f t="shared" si="10"/>
        <v>-126500</v>
      </c>
      <c r="I31" s="93">
        <f t="shared" si="10"/>
        <v>0</v>
      </c>
      <c r="J31" s="93">
        <f t="shared" si="10"/>
        <v>11000</v>
      </c>
      <c r="K31" s="93">
        <f t="shared" si="10"/>
        <v>26470</v>
      </c>
      <c r="L31" s="93">
        <f t="shared" si="10"/>
        <v>244000</v>
      </c>
      <c r="M31" s="93">
        <f>M35+M32</f>
        <v>28000</v>
      </c>
      <c r="N31" s="93">
        <f>N35+N32</f>
        <v>196350</v>
      </c>
      <c r="O31" s="93"/>
      <c r="P31" s="92">
        <f t="shared" si="10"/>
        <v>1525885</v>
      </c>
      <c r="Q31" s="93">
        <f>Q35+Q32</f>
        <v>195208</v>
      </c>
      <c r="R31" s="92">
        <f>R35+R32</f>
        <v>1721093</v>
      </c>
      <c r="S31" s="312"/>
    </row>
    <row r="32" spans="2:19" s="73" customFormat="1" ht="25.5">
      <c r="B32" s="39"/>
      <c r="C32" s="27">
        <v>70004</v>
      </c>
      <c r="D32" s="27"/>
      <c r="E32" s="30" t="s">
        <v>42</v>
      </c>
      <c r="F32" s="83">
        <f>SUM(F33:F33)</f>
        <v>476200</v>
      </c>
      <c r="G32" s="308">
        <f>SUM(G33:G33)</f>
        <v>-140000</v>
      </c>
      <c r="H32" s="84">
        <f>SUM(H33:H33)</f>
        <v>0</v>
      </c>
      <c r="I32" s="84">
        <f>SUM(I33:I33)</f>
        <v>0</v>
      </c>
      <c r="J32" s="84">
        <f>SUM(J33:J33)</f>
        <v>0</v>
      </c>
      <c r="K32" s="84">
        <f aca="true" t="shared" si="11" ref="K32:Q32">SUM(K33:K34)</f>
        <v>16470</v>
      </c>
      <c r="L32" s="84">
        <f t="shared" si="11"/>
        <v>244000</v>
      </c>
      <c r="M32" s="84">
        <f t="shared" si="11"/>
        <v>0</v>
      </c>
      <c r="N32" s="84">
        <f t="shared" si="11"/>
        <v>0</v>
      </c>
      <c r="O32" s="84"/>
      <c r="P32" s="58">
        <f t="shared" si="11"/>
        <v>596670</v>
      </c>
      <c r="Q32" s="84">
        <f t="shared" si="11"/>
        <v>0</v>
      </c>
      <c r="R32" s="149">
        <f>SUM(R33:R34)</f>
        <v>596670</v>
      </c>
      <c r="S32" s="305"/>
    </row>
    <row r="33" spans="2:19" s="71" customFormat="1" ht="40.5" customHeight="1">
      <c r="B33" s="51"/>
      <c r="C33" s="52"/>
      <c r="D33" s="44">
        <v>2650</v>
      </c>
      <c r="E33" s="45" t="s">
        <v>43</v>
      </c>
      <c r="F33" s="66">
        <f>336200+140000</f>
        <v>476200</v>
      </c>
      <c r="G33" s="150">
        <v>-140000</v>
      </c>
      <c r="H33" s="111"/>
      <c r="I33" s="111"/>
      <c r="J33" s="111"/>
      <c r="K33" s="111"/>
      <c r="L33" s="111"/>
      <c r="M33" s="111"/>
      <c r="N33" s="111"/>
      <c r="O33" s="111"/>
      <c r="P33" s="56">
        <f>F33+G33+H33+I33+J33+K33+L33+M33+N33+O33</f>
        <v>336200</v>
      </c>
      <c r="Q33" s="111"/>
      <c r="R33" s="306">
        <f aca="true" t="shared" si="12" ref="R33:R38">P33+Q33</f>
        <v>336200</v>
      </c>
      <c r="S33" s="307"/>
    </row>
    <row r="34" spans="2:19" s="71" customFormat="1" ht="51">
      <c r="B34" s="51"/>
      <c r="C34" s="52"/>
      <c r="D34" s="44">
        <v>6210</v>
      </c>
      <c r="E34" s="45" t="s">
        <v>44</v>
      </c>
      <c r="F34" s="66"/>
      <c r="G34" s="111"/>
      <c r="H34" s="111"/>
      <c r="I34" s="111"/>
      <c r="J34" s="111"/>
      <c r="K34" s="111">
        <v>16470</v>
      </c>
      <c r="L34" s="111">
        <v>244000</v>
      </c>
      <c r="M34" s="111"/>
      <c r="N34" s="111"/>
      <c r="O34" s="111"/>
      <c r="P34" s="56">
        <f>F34+G34+H34+I34+J34+K34+L34+M34+N34+O34</f>
        <v>260470</v>
      </c>
      <c r="Q34" s="111"/>
      <c r="R34" s="306">
        <f t="shared" si="12"/>
        <v>260470</v>
      </c>
      <c r="S34" s="307"/>
    </row>
    <row r="35" spans="2:19" s="109" customFormat="1" ht="25.5">
      <c r="B35" s="50"/>
      <c r="C35" s="27">
        <v>70005</v>
      </c>
      <c r="D35" s="27"/>
      <c r="E35" s="30" t="s">
        <v>9</v>
      </c>
      <c r="F35" s="83">
        <f>SUM(F36:F38)</f>
        <v>678100</v>
      </c>
      <c r="G35" s="84">
        <f aca="true" t="shared" si="13" ref="G35:L35">SUM(G36:G38)</f>
        <v>132265</v>
      </c>
      <c r="H35" s="308">
        <f t="shared" si="13"/>
        <v>-126500</v>
      </c>
      <c r="I35" s="84">
        <f t="shared" si="13"/>
        <v>0</v>
      </c>
      <c r="J35" s="84">
        <f t="shared" si="13"/>
        <v>11000</v>
      </c>
      <c r="K35" s="84">
        <f t="shared" si="13"/>
        <v>10000</v>
      </c>
      <c r="L35" s="84">
        <f t="shared" si="13"/>
        <v>0</v>
      </c>
      <c r="M35" s="84">
        <f>SUM(M36:M38)</f>
        <v>28000</v>
      </c>
      <c r="N35" s="84">
        <f>SUM(N36:N38)</f>
        <v>196350</v>
      </c>
      <c r="O35" s="84"/>
      <c r="P35" s="58">
        <f>SUM(P36:P38)</f>
        <v>929215</v>
      </c>
      <c r="Q35" s="84">
        <f>SUM(Q36:Q38)</f>
        <v>195208</v>
      </c>
      <c r="R35" s="149">
        <f>SUM(R36:R38)</f>
        <v>1124423</v>
      </c>
      <c r="S35" s="305"/>
    </row>
    <row r="36" spans="2:19" s="109" customFormat="1" ht="21" customHeight="1">
      <c r="B36" s="50"/>
      <c r="C36" s="53"/>
      <c r="D36" s="44">
        <v>4300</v>
      </c>
      <c r="E36" s="45" t="s">
        <v>31</v>
      </c>
      <c r="F36" s="56">
        <f>15000+35000+8000+10000+6000+5000+1000+10000+32100+20000+86000</f>
        <v>228100</v>
      </c>
      <c r="G36" s="60"/>
      <c r="H36" s="60"/>
      <c r="I36" s="60"/>
      <c r="J36" s="60">
        <v>5000</v>
      </c>
      <c r="K36" s="60">
        <v>10000</v>
      </c>
      <c r="L36" s="60"/>
      <c r="M36" s="60"/>
      <c r="N36" s="60"/>
      <c r="O36" s="60"/>
      <c r="P36" s="56">
        <f>F36+G36+H36+I36+J36+K36+L36+M36+N36+O36</f>
        <v>243100</v>
      </c>
      <c r="Q36" s="60"/>
      <c r="R36" s="306">
        <f t="shared" si="12"/>
        <v>243100</v>
      </c>
      <c r="S36" s="307"/>
    </row>
    <row r="37" spans="2:19" s="109" customFormat="1" ht="26.25" customHeight="1">
      <c r="B37" s="50"/>
      <c r="C37" s="53"/>
      <c r="D37" s="44">
        <v>6050</v>
      </c>
      <c r="E37" s="45" t="s">
        <v>34</v>
      </c>
      <c r="F37" s="56">
        <v>180000</v>
      </c>
      <c r="G37" s="60"/>
      <c r="H37" s="314">
        <v>-126500</v>
      </c>
      <c r="I37" s="60"/>
      <c r="J37" s="60"/>
      <c r="K37" s="60"/>
      <c r="L37" s="60"/>
      <c r="M37" s="60"/>
      <c r="N37" s="60"/>
      <c r="O37" s="60"/>
      <c r="P37" s="56">
        <f>F37+G37+H37+I37+J37+K37+L37+M37+N37+O37</f>
        <v>53500</v>
      </c>
      <c r="Q37" s="60"/>
      <c r="R37" s="306">
        <f t="shared" si="12"/>
        <v>53500</v>
      </c>
      <c r="S37" s="307"/>
    </row>
    <row r="38" spans="2:19" s="109" customFormat="1" ht="30" customHeight="1">
      <c r="B38" s="50"/>
      <c r="C38" s="53"/>
      <c r="D38" s="44">
        <v>6060</v>
      </c>
      <c r="E38" s="45" t="s">
        <v>45</v>
      </c>
      <c r="F38" s="56">
        <f>40000+230000</f>
        <v>270000</v>
      </c>
      <c r="G38" s="60">
        <v>132265</v>
      </c>
      <c r="H38" s="60"/>
      <c r="I38" s="60"/>
      <c r="J38" s="60">
        <v>6000</v>
      </c>
      <c r="K38" s="60"/>
      <c r="L38" s="60"/>
      <c r="M38" s="60">
        <v>28000</v>
      </c>
      <c r="N38" s="60">
        <f>116850+79500</f>
        <v>196350</v>
      </c>
      <c r="O38" s="60"/>
      <c r="P38" s="56">
        <f>F38+G38+H38+I38+J38+K38+L38+M38+N38+O38</f>
        <v>632615</v>
      </c>
      <c r="Q38" s="60">
        <f>137150+58058</f>
        <v>195208</v>
      </c>
      <c r="R38" s="306">
        <f t="shared" si="12"/>
        <v>827823</v>
      </c>
      <c r="S38" s="315" t="s">
        <v>290</v>
      </c>
    </row>
    <row r="39" spans="2:19" s="73" customFormat="1" ht="12.75">
      <c r="B39" s="47">
        <v>710</v>
      </c>
      <c r="C39" s="48"/>
      <c r="D39" s="48"/>
      <c r="E39" s="49" t="s">
        <v>291</v>
      </c>
      <c r="F39" s="92">
        <f>F40+F43</f>
        <v>210000</v>
      </c>
      <c r="G39" s="93">
        <f aca="true" t="shared" si="14" ref="G39:L39">G40+G43</f>
        <v>0</v>
      </c>
      <c r="H39" s="93">
        <f t="shared" si="14"/>
        <v>0</v>
      </c>
      <c r="I39" s="93">
        <f t="shared" si="14"/>
        <v>0</v>
      </c>
      <c r="J39" s="93">
        <f>J40+J43+J45</f>
        <v>20000</v>
      </c>
      <c r="K39" s="93">
        <f t="shared" si="14"/>
        <v>0</v>
      </c>
      <c r="L39" s="93">
        <f t="shared" si="14"/>
        <v>0</v>
      </c>
      <c r="M39" s="93">
        <f>M40+M43+M45</f>
        <v>0</v>
      </c>
      <c r="N39" s="93">
        <f>N40+N43+N45</f>
        <v>0</v>
      </c>
      <c r="O39" s="311"/>
      <c r="P39" s="92">
        <f>P40+P43+P45</f>
        <v>230000</v>
      </c>
      <c r="Q39" s="311">
        <f>Q40+Q43+Q45</f>
        <v>-66180</v>
      </c>
      <c r="R39" s="92">
        <f>R40+R43+R45</f>
        <v>163820</v>
      </c>
      <c r="S39" s="312"/>
    </row>
    <row r="40" spans="2:19" s="73" customFormat="1" ht="32.25" customHeight="1">
      <c r="B40" s="39"/>
      <c r="C40" s="27">
        <v>71004</v>
      </c>
      <c r="D40" s="27"/>
      <c r="E40" s="30" t="s">
        <v>292</v>
      </c>
      <c r="F40" s="83">
        <f>SUM(F41:F42)</f>
        <v>180000</v>
      </c>
      <c r="G40" s="84">
        <f aca="true" t="shared" si="15" ref="G40:L40">SUM(G41:G42)</f>
        <v>0</v>
      </c>
      <c r="H40" s="84">
        <f t="shared" si="15"/>
        <v>0</v>
      </c>
      <c r="I40" s="84">
        <f t="shared" si="15"/>
        <v>0</v>
      </c>
      <c r="J40" s="84">
        <f t="shared" si="15"/>
        <v>0</v>
      </c>
      <c r="K40" s="308">
        <f t="shared" si="15"/>
        <v>-3500</v>
      </c>
      <c r="L40" s="84">
        <f t="shared" si="15"/>
        <v>0</v>
      </c>
      <c r="M40" s="84">
        <f>SUM(M41:M42)</f>
        <v>0</v>
      </c>
      <c r="N40" s="84">
        <f>SUM(N41:N42)</f>
        <v>0</v>
      </c>
      <c r="O40" s="308"/>
      <c r="P40" s="316">
        <f>SUM(P41:P42)</f>
        <v>176500</v>
      </c>
      <c r="Q40" s="308">
        <f>SUM(Q41:Q42)</f>
        <v>-66180</v>
      </c>
      <c r="R40" s="317">
        <f>SUM(R41:R42)</f>
        <v>110320</v>
      </c>
      <c r="S40" s="318"/>
    </row>
    <row r="41" spans="2:19" s="73" customFormat="1" ht="25.5">
      <c r="B41" s="39"/>
      <c r="C41" s="27"/>
      <c r="D41" s="44">
        <v>3030</v>
      </c>
      <c r="E41" s="45" t="s">
        <v>46</v>
      </c>
      <c r="F41" s="66">
        <v>3600</v>
      </c>
      <c r="G41" s="111"/>
      <c r="H41" s="111"/>
      <c r="I41" s="111"/>
      <c r="J41" s="111"/>
      <c r="K41" s="111">
        <v>7000</v>
      </c>
      <c r="L41" s="111"/>
      <c r="M41" s="111"/>
      <c r="N41" s="111"/>
      <c r="O41" s="150"/>
      <c r="P41" s="56">
        <f>F41+G41+H41+I41+J41+K41+L41+M41+N41+O41</f>
        <v>10600</v>
      </c>
      <c r="Q41" s="150"/>
      <c r="R41" s="306">
        <f aca="true" t="shared" si="16" ref="R41:R46">P41+Q41</f>
        <v>10600</v>
      </c>
      <c r="S41" s="307"/>
    </row>
    <row r="42" spans="2:19" s="73" customFormat="1" ht="16.5" customHeight="1">
      <c r="B42" s="39"/>
      <c r="C42" s="44"/>
      <c r="D42" s="44">
        <v>4300</v>
      </c>
      <c r="E42" s="45" t="s">
        <v>31</v>
      </c>
      <c r="F42" s="66">
        <v>176400</v>
      </c>
      <c r="G42" s="111"/>
      <c r="H42" s="111"/>
      <c r="I42" s="111"/>
      <c r="J42" s="111"/>
      <c r="K42" s="150">
        <v>-10500</v>
      </c>
      <c r="L42" s="111"/>
      <c r="M42" s="111"/>
      <c r="N42" s="111"/>
      <c r="O42" s="150"/>
      <c r="P42" s="56">
        <f>F42+G42+H42+I42+J42+K42+L42+M42+N42+O42</f>
        <v>165900</v>
      </c>
      <c r="Q42" s="150">
        <v>-66180</v>
      </c>
      <c r="R42" s="306">
        <f t="shared" si="16"/>
        <v>99720</v>
      </c>
      <c r="S42" s="315" t="s">
        <v>293</v>
      </c>
    </row>
    <row r="43" spans="2:19" s="73" customFormat="1" ht="25.5">
      <c r="B43" s="39"/>
      <c r="C43" s="27">
        <v>71014</v>
      </c>
      <c r="D43" s="27"/>
      <c r="E43" s="30" t="s">
        <v>294</v>
      </c>
      <c r="F43" s="83">
        <f aca="true" t="shared" si="17" ref="F43:R43">SUM(F44:F44)</f>
        <v>30000</v>
      </c>
      <c r="G43" s="84">
        <f t="shared" si="17"/>
        <v>0</v>
      </c>
      <c r="H43" s="84">
        <f t="shared" si="17"/>
        <v>0</v>
      </c>
      <c r="I43" s="84">
        <f t="shared" si="17"/>
        <v>0</v>
      </c>
      <c r="J43" s="84">
        <f t="shared" si="17"/>
        <v>0</v>
      </c>
      <c r="K43" s="84">
        <f t="shared" si="17"/>
        <v>3500</v>
      </c>
      <c r="L43" s="84">
        <f t="shared" si="17"/>
        <v>0</v>
      </c>
      <c r="M43" s="84">
        <f t="shared" si="17"/>
        <v>0</v>
      </c>
      <c r="N43" s="84">
        <f t="shared" si="17"/>
        <v>0</v>
      </c>
      <c r="O43" s="84"/>
      <c r="P43" s="316">
        <f t="shared" si="17"/>
        <v>33500</v>
      </c>
      <c r="Q43" s="84">
        <f t="shared" si="17"/>
        <v>0</v>
      </c>
      <c r="R43" s="317">
        <f t="shared" si="17"/>
        <v>33500</v>
      </c>
      <c r="S43" s="318"/>
    </row>
    <row r="44" spans="2:19" s="73" customFormat="1" ht="12.75">
      <c r="B44" s="39"/>
      <c r="C44" s="44"/>
      <c r="D44" s="44">
        <v>4300</v>
      </c>
      <c r="E44" s="45" t="s">
        <v>31</v>
      </c>
      <c r="F44" s="66">
        <v>30000</v>
      </c>
      <c r="G44" s="111"/>
      <c r="H44" s="111"/>
      <c r="I44" s="111"/>
      <c r="J44" s="111"/>
      <c r="K44" s="111">
        <v>3500</v>
      </c>
      <c r="L44" s="111"/>
      <c r="M44" s="111"/>
      <c r="N44" s="111"/>
      <c r="O44" s="111"/>
      <c r="P44" s="56">
        <f>F44+G44+H44+I44+J44+K44+L44+M44+N44+O44</f>
        <v>33500</v>
      </c>
      <c r="Q44" s="111"/>
      <c r="R44" s="306">
        <f t="shared" si="16"/>
        <v>33500</v>
      </c>
      <c r="S44" s="307"/>
    </row>
    <row r="45" spans="2:19" s="73" customFormat="1" ht="12.75">
      <c r="B45" s="39"/>
      <c r="C45" s="27">
        <v>71095</v>
      </c>
      <c r="D45" s="27"/>
      <c r="E45" s="30" t="s">
        <v>21</v>
      </c>
      <c r="F45" s="66"/>
      <c r="G45" s="111"/>
      <c r="H45" s="111"/>
      <c r="I45" s="111"/>
      <c r="J45" s="84">
        <f>J46</f>
        <v>20000</v>
      </c>
      <c r="K45" s="84">
        <f>K46</f>
        <v>0</v>
      </c>
      <c r="L45" s="84"/>
      <c r="M45" s="84">
        <f>M46</f>
        <v>0</v>
      </c>
      <c r="N45" s="84">
        <f>N46</f>
        <v>0</v>
      </c>
      <c r="O45" s="84"/>
      <c r="P45" s="58">
        <f>P46</f>
        <v>20000</v>
      </c>
      <c r="Q45" s="84">
        <f>Q46</f>
        <v>0</v>
      </c>
      <c r="R45" s="149">
        <f>R46</f>
        <v>20000</v>
      </c>
      <c r="S45" s="305"/>
    </row>
    <row r="46" spans="2:19" s="73" customFormat="1" ht="12.75">
      <c r="B46" s="39"/>
      <c r="C46" s="44"/>
      <c r="D46" s="44">
        <v>4300</v>
      </c>
      <c r="E46" s="45" t="s">
        <v>31</v>
      </c>
      <c r="F46" s="66"/>
      <c r="G46" s="111"/>
      <c r="H46" s="111"/>
      <c r="I46" s="111"/>
      <c r="J46" s="111">
        <v>20000</v>
      </c>
      <c r="K46" s="111"/>
      <c r="L46" s="111"/>
      <c r="M46" s="111"/>
      <c r="N46" s="111"/>
      <c r="O46" s="111"/>
      <c r="P46" s="56">
        <f>F46+G46+H46+I46+J46+K46+L46+M46+N46+O46</f>
        <v>20000</v>
      </c>
      <c r="Q46" s="111"/>
      <c r="R46" s="306">
        <f t="shared" si="16"/>
        <v>20000</v>
      </c>
      <c r="S46" s="307"/>
    </row>
    <row r="47" spans="2:19" s="73" customFormat="1" ht="12.75">
      <c r="B47" s="47">
        <v>750</v>
      </c>
      <c r="C47" s="48"/>
      <c r="D47" s="48"/>
      <c r="E47" s="49" t="s">
        <v>12</v>
      </c>
      <c r="F47" s="92">
        <f>F48+F51+F60+F83</f>
        <v>2261441</v>
      </c>
      <c r="G47" s="93">
        <f aca="true" t="shared" si="18" ref="G47:L47">G48+G51+G60+G83</f>
        <v>40254</v>
      </c>
      <c r="H47" s="93">
        <f t="shared" si="18"/>
        <v>27787</v>
      </c>
      <c r="I47" s="93">
        <f t="shared" si="18"/>
        <v>0</v>
      </c>
      <c r="J47" s="93">
        <f t="shared" si="18"/>
        <v>136900</v>
      </c>
      <c r="K47" s="93">
        <f t="shared" si="18"/>
        <v>119646</v>
      </c>
      <c r="L47" s="93">
        <f t="shared" si="18"/>
        <v>0</v>
      </c>
      <c r="M47" s="93">
        <f>M48+M51+M60+M83</f>
        <v>260020</v>
      </c>
      <c r="N47" s="93">
        <f>N48+N51+N60+N83</f>
        <v>3800</v>
      </c>
      <c r="O47" s="93"/>
      <c r="P47" s="92">
        <f>P48+P51+P60+P83</f>
        <v>2849848</v>
      </c>
      <c r="Q47" s="93">
        <f>Q48+Q51+Q60+Q83</f>
        <v>23350</v>
      </c>
      <c r="R47" s="92">
        <f>R48+R51+R60+R83</f>
        <v>2873198</v>
      </c>
      <c r="S47" s="312"/>
    </row>
    <row r="48" spans="2:19" s="73" customFormat="1" ht="12.75">
      <c r="B48" s="39"/>
      <c r="C48" s="27">
        <v>75011</v>
      </c>
      <c r="D48" s="27"/>
      <c r="E48" s="30" t="s">
        <v>177</v>
      </c>
      <c r="F48" s="83">
        <f>SUM(F49:F50)</f>
        <v>53800</v>
      </c>
      <c r="G48" s="84">
        <f aca="true" t="shared" si="19" ref="G48:L48">SUM(G49:G50)</f>
        <v>0</v>
      </c>
      <c r="H48" s="84">
        <f t="shared" si="19"/>
        <v>0</v>
      </c>
      <c r="I48" s="84">
        <f t="shared" si="19"/>
        <v>0</v>
      </c>
      <c r="J48" s="84">
        <f t="shared" si="19"/>
        <v>0</v>
      </c>
      <c r="K48" s="84">
        <f t="shared" si="19"/>
        <v>0</v>
      </c>
      <c r="L48" s="84">
        <f t="shared" si="19"/>
        <v>0</v>
      </c>
      <c r="M48" s="84">
        <f>SUM(M49:M50)</f>
        <v>0</v>
      </c>
      <c r="N48" s="84">
        <f>SUM(N49:N50)</f>
        <v>2300</v>
      </c>
      <c r="O48" s="84"/>
      <c r="P48" s="58">
        <f>SUM(P49:P50)</f>
        <v>56100</v>
      </c>
      <c r="Q48" s="84">
        <f>SUM(Q49:Q50)</f>
        <v>0</v>
      </c>
      <c r="R48" s="149">
        <f>SUM(R49:R50)</f>
        <v>56100</v>
      </c>
      <c r="S48" s="305"/>
    </row>
    <row r="49" spans="2:19" s="73" customFormat="1" ht="12.75">
      <c r="B49" s="39"/>
      <c r="C49" s="44"/>
      <c r="D49" s="44">
        <v>4010</v>
      </c>
      <c r="E49" s="45" t="s">
        <v>47</v>
      </c>
      <c r="F49" s="66">
        <v>45893</v>
      </c>
      <c r="G49" s="111"/>
      <c r="H49" s="111"/>
      <c r="I49" s="111"/>
      <c r="J49" s="111"/>
      <c r="K49" s="111"/>
      <c r="L49" s="111"/>
      <c r="M49" s="111"/>
      <c r="N49" s="147">
        <v>1962</v>
      </c>
      <c r="O49" s="147"/>
      <c r="P49" s="56">
        <f>F49+G49+H49+I49+J49+K49+L49+M49+N49+O49</f>
        <v>47855</v>
      </c>
      <c r="Q49" s="147"/>
      <c r="R49" s="306">
        <f aca="true" t="shared" si="20" ref="R49:R99">P49+Q49</f>
        <v>47855</v>
      </c>
      <c r="S49" s="307"/>
    </row>
    <row r="50" spans="2:19" s="73" customFormat="1" ht="12.75">
      <c r="B50" s="39"/>
      <c r="C50" s="44"/>
      <c r="D50" s="44">
        <v>4110</v>
      </c>
      <c r="E50" s="45" t="s">
        <v>48</v>
      </c>
      <c r="F50" s="66">
        <v>7907</v>
      </c>
      <c r="G50" s="111"/>
      <c r="H50" s="111"/>
      <c r="I50" s="111"/>
      <c r="J50" s="111"/>
      <c r="K50" s="111"/>
      <c r="L50" s="111"/>
      <c r="M50" s="111"/>
      <c r="N50" s="147">
        <v>338</v>
      </c>
      <c r="O50" s="147"/>
      <c r="P50" s="56">
        <f>F50+G50+H50+I50+J50+K50+L50+M50+N50+O50</f>
        <v>8245</v>
      </c>
      <c r="Q50" s="147"/>
      <c r="R50" s="306">
        <f t="shared" si="20"/>
        <v>8245</v>
      </c>
      <c r="S50" s="307"/>
    </row>
    <row r="51" spans="2:19" s="73" customFormat="1" ht="12.75">
      <c r="B51" s="39"/>
      <c r="C51" s="27">
        <v>75022</v>
      </c>
      <c r="D51" s="27"/>
      <c r="E51" s="30" t="s">
        <v>178</v>
      </c>
      <c r="F51" s="83">
        <f>SUM(F53:F58)</f>
        <v>202590</v>
      </c>
      <c r="G51" s="84">
        <f aca="true" t="shared" si="21" ref="G51:L51">SUM(G53:G58)</f>
        <v>0</v>
      </c>
      <c r="H51" s="84">
        <f t="shared" si="21"/>
        <v>0</v>
      </c>
      <c r="I51" s="84">
        <f t="shared" si="21"/>
        <v>0</v>
      </c>
      <c r="J51" s="84">
        <f>SUM(J52:L58)</f>
        <v>1000</v>
      </c>
      <c r="K51" s="84">
        <f t="shared" si="21"/>
        <v>0</v>
      </c>
      <c r="L51" s="84">
        <f t="shared" si="21"/>
        <v>0</v>
      </c>
      <c r="M51" s="84">
        <f>SUM(M52:M59)</f>
        <v>62100</v>
      </c>
      <c r="N51" s="84">
        <f>SUM(N52:N59)</f>
        <v>0</v>
      </c>
      <c r="O51" s="84"/>
      <c r="P51" s="58">
        <f>SUM(P52:P59)</f>
        <v>265690</v>
      </c>
      <c r="Q51" s="84">
        <f>SUM(Q52:Q59)</f>
        <v>0</v>
      </c>
      <c r="R51" s="149">
        <f>SUM(R52:R59)</f>
        <v>265690</v>
      </c>
      <c r="S51" s="305"/>
    </row>
    <row r="52" spans="2:19" s="73" customFormat="1" ht="63.75">
      <c r="B52" s="39"/>
      <c r="C52" s="27"/>
      <c r="D52" s="44">
        <v>2710</v>
      </c>
      <c r="E52" s="45" t="s">
        <v>39</v>
      </c>
      <c r="F52" s="83"/>
      <c r="G52" s="84"/>
      <c r="H52" s="84"/>
      <c r="I52" s="84"/>
      <c r="J52" s="111">
        <v>1000</v>
      </c>
      <c r="K52" s="84"/>
      <c r="L52" s="84"/>
      <c r="M52" s="84"/>
      <c r="N52" s="84"/>
      <c r="O52" s="84"/>
      <c r="P52" s="56">
        <f aca="true" t="shared" si="22" ref="P52:P59">F52+G52+H52+I52+J52+K52+L52+M52+N52+O52</f>
        <v>1000</v>
      </c>
      <c r="Q52" s="84"/>
      <c r="R52" s="306">
        <f t="shared" si="20"/>
        <v>1000</v>
      </c>
      <c r="S52" s="307"/>
    </row>
    <row r="53" spans="2:19" s="73" customFormat="1" ht="25.5">
      <c r="B53" s="39"/>
      <c r="C53" s="44"/>
      <c r="D53" s="44">
        <v>3030</v>
      </c>
      <c r="E53" s="45" t="s">
        <v>46</v>
      </c>
      <c r="F53" s="66">
        <v>136200</v>
      </c>
      <c r="G53" s="111"/>
      <c r="H53" s="111"/>
      <c r="I53" s="111"/>
      <c r="J53" s="111"/>
      <c r="K53" s="111"/>
      <c r="L53" s="111"/>
      <c r="M53" s="111"/>
      <c r="N53" s="111"/>
      <c r="O53" s="111"/>
      <c r="P53" s="56">
        <f t="shared" si="22"/>
        <v>136200</v>
      </c>
      <c r="Q53" s="111"/>
      <c r="R53" s="306">
        <f t="shared" si="20"/>
        <v>136200</v>
      </c>
      <c r="S53" s="307"/>
    </row>
    <row r="54" spans="2:19" s="73" customFormat="1" ht="30" customHeight="1">
      <c r="B54" s="39"/>
      <c r="C54" s="44"/>
      <c r="D54" s="44">
        <v>4210</v>
      </c>
      <c r="E54" s="45" t="s">
        <v>29</v>
      </c>
      <c r="F54" s="66">
        <f>39890-20000</f>
        <v>19890</v>
      </c>
      <c r="G54" s="111"/>
      <c r="H54" s="111"/>
      <c r="I54" s="111"/>
      <c r="J54" s="111"/>
      <c r="K54" s="111"/>
      <c r="L54" s="111"/>
      <c r="M54" s="111">
        <v>30000</v>
      </c>
      <c r="N54" s="111"/>
      <c r="O54" s="111"/>
      <c r="P54" s="56">
        <f t="shared" si="22"/>
        <v>49890</v>
      </c>
      <c r="Q54" s="111"/>
      <c r="R54" s="306">
        <f t="shared" si="20"/>
        <v>49890</v>
      </c>
      <c r="S54" s="307"/>
    </row>
    <row r="55" spans="2:19" s="73" customFormat="1" ht="12.75">
      <c r="B55" s="39"/>
      <c r="C55" s="44"/>
      <c r="D55" s="44">
        <v>4260</v>
      </c>
      <c r="E55" s="45" t="s">
        <v>49</v>
      </c>
      <c r="F55" s="66">
        <v>5000</v>
      </c>
      <c r="G55" s="111"/>
      <c r="H55" s="111"/>
      <c r="I55" s="111"/>
      <c r="J55" s="111"/>
      <c r="K55" s="111"/>
      <c r="L55" s="111"/>
      <c r="M55" s="111">
        <v>2000</v>
      </c>
      <c r="N55" s="111"/>
      <c r="O55" s="111"/>
      <c r="P55" s="56">
        <f t="shared" si="22"/>
        <v>7000</v>
      </c>
      <c r="Q55" s="111"/>
      <c r="R55" s="306">
        <f t="shared" si="20"/>
        <v>7000</v>
      </c>
      <c r="S55" s="307"/>
    </row>
    <row r="56" spans="2:19" s="73" customFormat="1" ht="18" customHeight="1">
      <c r="B56" s="39"/>
      <c r="C56" s="44"/>
      <c r="D56" s="44">
        <v>4300</v>
      </c>
      <c r="E56" s="45" t="s">
        <v>31</v>
      </c>
      <c r="F56" s="66">
        <v>37500</v>
      </c>
      <c r="G56" s="111"/>
      <c r="H56" s="111"/>
      <c r="I56" s="111"/>
      <c r="J56" s="111"/>
      <c r="K56" s="111"/>
      <c r="L56" s="111"/>
      <c r="M56" s="111">
        <v>30000</v>
      </c>
      <c r="N56" s="111"/>
      <c r="O56" s="111"/>
      <c r="P56" s="56">
        <f t="shared" si="22"/>
        <v>67500</v>
      </c>
      <c r="Q56" s="111"/>
      <c r="R56" s="306">
        <f t="shared" si="20"/>
        <v>67500</v>
      </c>
      <c r="S56" s="307"/>
    </row>
    <row r="57" spans="2:19" s="73" customFormat="1" ht="12.75">
      <c r="B57" s="39"/>
      <c r="C57" s="44"/>
      <c r="D57" s="44">
        <v>4410</v>
      </c>
      <c r="E57" s="45" t="s">
        <v>50</v>
      </c>
      <c r="F57" s="66">
        <v>3000</v>
      </c>
      <c r="G57" s="111"/>
      <c r="H57" s="111"/>
      <c r="I57" s="111"/>
      <c r="J57" s="111"/>
      <c r="K57" s="111"/>
      <c r="L57" s="111"/>
      <c r="M57" s="111"/>
      <c r="N57" s="111"/>
      <c r="O57" s="111"/>
      <c r="P57" s="56">
        <f t="shared" si="22"/>
        <v>3000</v>
      </c>
      <c r="Q57" s="111"/>
      <c r="R57" s="306">
        <f t="shared" si="20"/>
        <v>3000</v>
      </c>
      <c r="S57" s="307"/>
    </row>
    <row r="58" spans="2:19" s="73" customFormat="1" ht="12.75">
      <c r="B58" s="39"/>
      <c r="C58" s="44"/>
      <c r="D58" s="44">
        <v>4420</v>
      </c>
      <c r="E58" s="45" t="s">
        <v>179</v>
      </c>
      <c r="F58" s="66">
        <v>1000</v>
      </c>
      <c r="G58" s="111"/>
      <c r="H58" s="111"/>
      <c r="I58" s="111"/>
      <c r="J58" s="111"/>
      <c r="K58" s="111"/>
      <c r="L58" s="111"/>
      <c r="M58" s="111"/>
      <c r="N58" s="111"/>
      <c r="O58" s="111"/>
      <c r="P58" s="56">
        <f t="shared" si="22"/>
        <v>1000</v>
      </c>
      <c r="Q58" s="111"/>
      <c r="R58" s="306">
        <f t="shared" si="20"/>
        <v>1000</v>
      </c>
      <c r="S58" s="307"/>
    </row>
    <row r="59" spans="2:19" s="73" customFormat="1" ht="12.75">
      <c r="B59" s="39"/>
      <c r="C59" s="44"/>
      <c r="D59" s="44">
        <v>4430</v>
      </c>
      <c r="E59" s="45" t="s">
        <v>36</v>
      </c>
      <c r="F59" s="66"/>
      <c r="G59" s="111"/>
      <c r="H59" s="111"/>
      <c r="I59" s="111"/>
      <c r="J59" s="111"/>
      <c r="K59" s="111"/>
      <c r="L59" s="111"/>
      <c r="M59" s="111">
        <v>100</v>
      </c>
      <c r="N59" s="111"/>
      <c r="O59" s="111"/>
      <c r="P59" s="56">
        <f t="shared" si="22"/>
        <v>100</v>
      </c>
      <c r="Q59" s="111"/>
      <c r="R59" s="306">
        <f t="shared" si="20"/>
        <v>100</v>
      </c>
      <c r="S59" s="307"/>
    </row>
    <row r="60" spans="2:19" s="73" customFormat="1" ht="12.75">
      <c r="B60" s="39"/>
      <c r="C60" s="27">
        <v>75023</v>
      </c>
      <c r="D60" s="27"/>
      <c r="E60" s="30" t="s">
        <v>14</v>
      </c>
      <c r="F60" s="83">
        <f>SUM(F61:F82)</f>
        <v>1917051</v>
      </c>
      <c r="G60" s="84">
        <f aca="true" t="shared" si="23" ref="G60:L60">SUM(G61:G82)</f>
        <v>3100</v>
      </c>
      <c r="H60" s="84">
        <f t="shared" si="23"/>
        <v>33627</v>
      </c>
      <c r="I60" s="84">
        <f t="shared" si="23"/>
        <v>0</v>
      </c>
      <c r="J60" s="84">
        <f t="shared" si="23"/>
        <v>54900</v>
      </c>
      <c r="K60" s="84">
        <f t="shared" si="23"/>
        <v>51100</v>
      </c>
      <c r="L60" s="84">
        <f t="shared" si="23"/>
        <v>0</v>
      </c>
      <c r="M60" s="84">
        <f>SUM(M61:M82)</f>
        <v>175400</v>
      </c>
      <c r="N60" s="84">
        <f>SUM(N61:N82)</f>
        <v>1500</v>
      </c>
      <c r="O60" s="84"/>
      <c r="P60" s="58">
        <f>SUM(P61:P82)</f>
        <v>2236678</v>
      </c>
      <c r="Q60" s="84">
        <f>SUM(Q61:Q82)</f>
        <v>0</v>
      </c>
      <c r="R60" s="149">
        <f>SUM(R61:R82)</f>
        <v>2236678</v>
      </c>
      <c r="S60" s="305"/>
    </row>
    <row r="61" spans="2:19" s="73" customFormat="1" ht="25.5">
      <c r="B61" s="39"/>
      <c r="C61" s="44"/>
      <c r="D61" s="44">
        <v>3020</v>
      </c>
      <c r="E61" s="45" t="s">
        <v>51</v>
      </c>
      <c r="F61" s="66">
        <v>6500</v>
      </c>
      <c r="G61" s="111"/>
      <c r="H61" s="111"/>
      <c r="I61" s="111"/>
      <c r="J61" s="111"/>
      <c r="K61" s="111"/>
      <c r="L61" s="111"/>
      <c r="M61" s="111"/>
      <c r="N61" s="111"/>
      <c r="O61" s="111"/>
      <c r="P61" s="56">
        <f aca="true" t="shared" si="24" ref="P61:P82">F61+G61+H61+I61+J61+K61+L61+M61+N61+O61</f>
        <v>6500</v>
      </c>
      <c r="Q61" s="111"/>
      <c r="R61" s="306">
        <f t="shared" si="20"/>
        <v>6500</v>
      </c>
      <c r="S61" s="307"/>
    </row>
    <row r="62" spans="2:19" s="73" customFormat="1" ht="12.75">
      <c r="B62" s="39"/>
      <c r="C62" s="44"/>
      <c r="D62" s="44">
        <v>4010</v>
      </c>
      <c r="E62" s="45" t="s">
        <v>47</v>
      </c>
      <c r="F62" s="66">
        <v>1162700</v>
      </c>
      <c r="G62" s="111"/>
      <c r="H62" s="111"/>
      <c r="I62" s="111"/>
      <c r="J62" s="111"/>
      <c r="K62" s="111"/>
      <c r="L62" s="111"/>
      <c r="M62" s="111"/>
      <c r="N62" s="111"/>
      <c r="O62" s="111"/>
      <c r="P62" s="56">
        <f t="shared" si="24"/>
        <v>1162700</v>
      </c>
      <c r="Q62" s="111"/>
      <c r="R62" s="306">
        <f t="shared" si="20"/>
        <v>1162700</v>
      </c>
      <c r="S62" s="307"/>
    </row>
    <row r="63" spans="2:19" s="73" customFormat="1" ht="12.75">
      <c r="B63" s="39"/>
      <c r="C63" s="44"/>
      <c r="D63" s="44">
        <v>4040</v>
      </c>
      <c r="E63" s="45" t="s">
        <v>52</v>
      </c>
      <c r="F63" s="66">
        <v>81700</v>
      </c>
      <c r="G63" s="111"/>
      <c r="H63" s="150">
        <v>-1519</v>
      </c>
      <c r="I63" s="111"/>
      <c r="J63" s="111"/>
      <c r="K63" s="111"/>
      <c r="L63" s="111"/>
      <c r="M63" s="111"/>
      <c r="N63" s="111"/>
      <c r="O63" s="111"/>
      <c r="P63" s="56">
        <f t="shared" si="24"/>
        <v>80181</v>
      </c>
      <c r="Q63" s="111"/>
      <c r="R63" s="306">
        <f t="shared" si="20"/>
        <v>80181</v>
      </c>
      <c r="S63" s="307"/>
    </row>
    <row r="64" spans="2:19" s="73" customFormat="1" ht="12.75">
      <c r="B64" s="39"/>
      <c r="C64" s="44"/>
      <c r="D64" s="44">
        <v>4110</v>
      </c>
      <c r="E64" s="45" t="s">
        <v>48</v>
      </c>
      <c r="F64" s="66">
        <v>205980</v>
      </c>
      <c r="G64" s="111"/>
      <c r="H64" s="111"/>
      <c r="I64" s="111"/>
      <c r="J64" s="111"/>
      <c r="K64" s="111"/>
      <c r="L64" s="111"/>
      <c r="M64" s="111"/>
      <c r="N64" s="111"/>
      <c r="O64" s="111"/>
      <c r="P64" s="56">
        <f t="shared" si="24"/>
        <v>205980</v>
      </c>
      <c r="Q64" s="111"/>
      <c r="R64" s="306">
        <f t="shared" si="20"/>
        <v>205980</v>
      </c>
      <c r="S64" s="307"/>
    </row>
    <row r="65" spans="2:19" s="73" customFormat="1" ht="12.75">
      <c r="B65" s="39"/>
      <c r="C65" s="44"/>
      <c r="D65" s="44">
        <v>4120</v>
      </c>
      <c r="E65" s="45" t="s">
        <v>180</v>
      </c>
      <c r="F65" s="66">
        <v>31020</v>
      </c>
      <c r="G65" s="111"/>
      <c r="H65" s="111"/>
      <c r="I65" s="111"/>
      <c r="J65" s="111"/>
      <c r="K65" s="111"/>
      <c r="L65" s="111"/>
      <c r="M65" s="111"/>
      <c r="N65" s="111"/>
      <c r="O65" s="111"/>
      <c r="P65" s="56">
        <f t="shared" si="24"/>
        <v>31020</v>
      </c>
      <c r="Q65" s="111"/>
      <c r="R65" s="306">
        <f t="shared" si="20"/>
        <v>31020</v>
      </c>
      <c r="S65" s="307"/>
    </row>
    <row r="66" spans="2:19" s="73" customFormat="1" ht="16.5" customHeight="1">
      <c r="B66" s="39"/>
      <c r="C66" s="44"/>
      <c r="D66" s="44">
        <v>4170</v>
      </c>
      <c r="E66" s="45" t="s">
        <v>53</v>
      </c>
      <c r="F66" s="66"/>
      <c r="G66" s="111">
        <v>3100</v>
      </c>
      <c r="H66" s="111">
        <v>5146</v>
      </c>
      <c r="I66" s="111"/>
      <c r="J66" s="111"/>
      <c r="K66" s="111"/>
      <c r="L66" s="111"/>
      <c r="M66" s="111"/>
      <c r="N66" s="111">
        <v>1500</v>
      </c>
      <c r="O66" s="111"/>
      <c r="P66" s="56">
        <f t="shared" si="24"/>
        <v>9746</v>
      </c>
      <c r="Q66" s="111"/>
      <c r="R66" s="306">
        <f t="shared" si="20"/>
        <v>9746</v>
      </c>
      <c r="S66" s="307"/>
    </row>
    <row r="67" spans="2:19" s="73" customFormat="1" ht="12.75">
      <c r="B67" s="39"/>
      <c r="C67" s="44"/>
      <c r="D67" s="44">
        <v>4210</v>
      </c>
      <c r="E67" s="45" t="s">
        <v>29</v>
      </c>
      <c r="F67" s="66">
        <f>10000+5000+13000+6700+27400+3000+5000</f>
        <v>70100</v>
      </c>
      <c r="G67" s="111"/>
      <c r="H67" s="111"/>
      <c r="I67" s="111"/>
      <c r="J67" s="111">
        <v>10900</v>
      </c>
      <c r="K67" s="111"/>
      <c r="L67" s="111"/>
      <c r="M67" s="111"/>
      <c r="N67" s="111"/>
      <c r="O67" s="111"/>
      <c r="P67" s="56">
        <f t="shared" si="24"/>
        <v>81000</v>
      </c>
      <c r="Q67" s="111"/>
      <c r="R67" s="306">
        <f t="shared" si="20"/>
        <v>81000</v>
      </c>
      <c r="S67" s="307"/>
    </row>
    <row r="68" spans="2:19" s="73" customFormat="1" ht="16.5" customHeight="1">
      <c r="B68" s="39"/>
      <c r="C68" s="44"/>
      <c r="D68" s="44">
        <v>4260</v>
      </c>
      <c r="E68" s="45" t="s">
        <v>49</v>
      </c>
      <c r="F68" s="66">
        <f>13500+500+200+22000</f>
        <v>36200</v>
      </c>
      <c r="G68" s="111"/>
      <c r="H68" s="111"/>
      <c r="I68" s="111"/>
      <c r="J68" s="111"/>
      <c r="K68" s="111"/>
      <c r="L68" s="111"/>
      <c r="M68" s="111"/>
      <c r="N68" s="111"/>
      <c r="O68" s="111"/>
      <c r="P68" s="56">
        <f t="shared" si="24"/>
        <v>36200</v>
      </c>
      <c r="Q68" s="111"/>
      <c r="R68" s="306">
        <f t="shared" si="20"/>
        <v>36200</v>
      </c>
      <c r="S68" s="307"/>
    </row>
    <row r="69" spans="2:19" s="73" customFormat="1" ht="12" customHeight="1">
      <c r="B69" s="39"/>
      <c r="C69" s="44"/>
      <c r="D69" s="44">
        <v>4270</v>
      </c>
      <c r="E69" s="45" t="s">
        <v>30</v>
      </c>
      <c r="F69" s="66">
        <v>18000</v>
      </c>
      <c r="G69" s="111"/>
      <c r="H69" s="111">
        <v>30000</v>
      </c>
      <c r="I69" s="111"/>
      <c r="J69" s="111">
        <v>25000</v>
      </c>
      <c r="K69" s="111"/>
      <c r="L69" s="111"/>
      <c r="M69" s="111">
        <v>130000</v>
      </c>
      <c r="N69" s="111"/>
      <c r="O69" s="111"/>
      <c r="P69" s="56">
        <f t="shared" si="24"/>
        <v>203000</v>
      </c>
      <c r="Q69" s="111"/>
      <c r="R69" s="306">
        <f t="shared" si="20"/>
        <v>203000</v>
      </c>
      <c r="S69" s="307"/>
    </row>
    <row r="70" spans="2:19" s="73" customFormat="1" ht="15.75" customHeight="1">
      <c r="B70" s="39"/>
      <c r="C70" s="44"/>
      <c r="D70" s="44">
        <v>4280</v>
      </c>
      <c r="E70" s="45" t="s">
        <v>54</v>
      </c>
      <c r="F70" s="66">
        <v>400</v>
      </c>
      <c r="G70" s="111"/>
      <c r="H70" s="111"/>
      <c r="I70" s="111"/>
      <c r="J70" s="111">
        <v>1000</v>
      </c>
      <c r="K70" s="111"/>
      <c r="L70" s="111"/>
      <c r="M70" s="111"/>
      <c r="N70" s="111"/>
      <c r="O70" s="111"/>
      <c r="P70" s="56">
        <f t="shared" si="24"/>
        <v>1400</v>
      </c>
      <c r="Q70" s="111"/>
      <c r="R70" s="306">
        <f t="shared" si="20"/>
        <v>1400</v>
      </c>
      <c r="S70" s="307"/>
    </row>
    <row r="71" spans="2:19" s="73" customFormat="1" ht="15.75" customHeight="1">
      <c r="B71" s="39"/>
      <c r="C71" s="44"/>
      <c r="D71" s="44">
        <v>4300</v>
      </c>
      <c r="E71" s="45" t="s">
        <v>31</v>
      </c>
      <c r="F71" s="66">
        <v>67850</v>
      </c>
      <c r="G71" s="111"/>
      <c r="H71" s="111"/>
      <c r="I71" s="111"/>
      <c r="J71" s="111">
        <v>3000</v>
      </c>
      <c r="K71" s="111"/>
      <c r="L71" s="111"/>
      <c r="M71" s="111">
        <v>45000</v>
      </c>
      <c r="N71" s="111"/>
      <c r="O71" s="111"/>
      <c r="P71" s="56">
        <f t="shared" si="24"/>
        <v>115850</v>
      </c>
      <c r="Q71" s="111"/>
      <c r="R71" s="306">
        <f t="shared" si="20"/>
        <v>115850</v>
      </c>
      <c r="S71" s="307"/>
    </row>
    <row r="72" spans="2:19" s="73" customFormat="1" ht="12.75">
      <c r="B72" s="39"/>
      <c r="C72" s="44"/>
      <c r="D72" s="44">
        <v>4350</v>
      </c>
      <c r="E72" s="45" t="s">
        <v>55</v>
      </c>
      <c r="F72" s="66">
        <v>4500</v>
      </c>
      <c r="G72" s="111"/>
      <c r="H72" s="111"/>
      <c r="I72" s="111"/>
      <c r="J72" s="111"/>
      <c r="K72" s="111"/>
      <c r="L72" s="111"/>
      <c r="M72" s="111"/>
      <c r="N72" s="111"/>
      <c r="O72" s="111"/>
      <c r="P72" s="56">
        <f t="shared" si="24"/>
        <v>4500</v>
      </c>
      <c r="Q72" s="111"/>
      <c r="R72" s="306">
        <f t="shared" si="20"/>
        <v>4500</v>
      </c>
      <c r="S72" s="307"/>
    </row>
    <row r="73" spans="2:19" s="73" customFormat="1" ht="38.25">
      <c r="B73" s="39"/>
      <c r="C73" s="44"/>
      <c r="D73" s="44">
        <v>4360</v>
      </c>
      <c r="E73" s="45" t="s">
        <v>56</v>
      </c>
      <c r="F73" s="66">
        <v>3100</v>
      </c>
      <c r="G73" s="111"/>
      <c r="H73" s="111"/>
      <c r="I73" s="111"/>
      <c r="J73" s="111"/>
      <c r="K73" s="111"/>
      <c r="L73" s="111"/>
      <c r="M73" s="111">
        <v>400</v>
      </c>
      <c r="N73" s="111"/>
      <c r="O73" s="111"/>
      <c r="P73" s="56">
        <f t="shared" si="24"/>
        <v>3500</v>
      </c>
      <c r="Q73" s="111"/>
      <c r="R73" s="306">
        <f t="shared" si="20"/>
        <v>3500</v>
      </c>
      <c r="S73" s="307"/>
    </row>
    <row r="74" spans="2:19" s="73" customFormat="1" ht="38.25">
      <c r="B74" s="39"/>
      <c r="C74" s="44"/>
      <c r="D74" s="44">
        <v>4370</v>
      </c>
      <c r="E74" s="45" t="s">
        <v>57</v>
      </c>
      <c r="F74" s="66">
        <v>31500</v>
      </c>
      <c r="G74" s="111"/>
      <c r="H74" s="111"/>
      <c r="I74" s="111"/>
      <c r="J74" s="111"/>
      <c r="K74" s="111"/>
      <c r="L74" s="111"/>
      <c r="M74" s="150"/>
      <c r="N74" s="150"/>
      <c r="O74" s="111"/>
      <c r="P74" s="56">
        <f t="shared" si="24"/>
        <v>31500</v>
      </c>
      <c r="Q74" s="111"/>
      <c r="R74" s="306">
        <f t="shared" si="20"/>
        <v>31500</v>
      </c>
      <c r="S74" s="307"/>
    </row>
    <row r="75" spans="2:19" s="73" customFormat="1" ht="18" customHeight="1">
      <c r="B75" s="39"/>
      <c r="C75" s="44"/>
      <c r="D75" s="44">
        <v>4410</v>
      </c>
      <c r="E75" s="45" t="s">
        <v>50</v>
      </c>
      <c r="F75" s="66">
        <v>32000</v>
      </c>
      <c r="G75" s="111"/>
      <c r="H75" s="111"/>
      <c r="I75" s="111"/>
      <c r="J75" s="111"/>
      <c r="K75" s="111"/>
      <c r="L75" s="111"/>
      <c r="M75" s="111"/>
      <c r="N75" s="111"/>
      <c r="O75" s="111"/>
      <c r="P75" s="56">
        <f t="shared" si="24"/>
        <v>32000</v>
      </c>
      <c r="Q75" s="111"/>
      <c r="R75" s="306">
        <f t="shared" si="20"/>
        <v>32000</v>
      </c>
      <c r="S75" s="307"/>
    </row>
    <row r="76" spans="2:19" s="73" customFormat="1" ht="16.5" customHeight="1">
      <c r="B76" s="39"/>
      <c r="C76" s="44"/>
      <c r="D76" s="44">
        <v>4420</v>
      </c>
      <c r="E76" s="45" t="s">
        <v>179</v>
      </c>
      <c r="F76" s="66">
        <v>2000</v>
      </c>
      <c r="G76" s="111"/>
      <c r="H76" s="111"/>
      <c r="I76" s="111"/>
      <c r="J76" s="111"/>
      <c r="K76" s="111"/>
      <c r="L76" s="111"/>
      <c r="M76" s="111"/>
      <c r="N76" s="111"/>
      <c r="O76" s="111"/>
      <c r="P76" s="56">
        <f t="shared" si="24"/>
        <v>2000</v>
      </c>
      <c r="Q76" s="111"/>
      <c r="R76" s="306">
        <f t="shared" si="20"/>
        <v>2000</v>
      </c>
      <c r="S76" s="307"/>
    </row>
    <row r="77" spans="2:19" s="73" customFormat="1" ht="17.25" customHeight="1">
      <c r="B77" s="39"/>
      <c r="C77" s="44"/>
      <c r="D77" s="44">
        <v>4430</v>
      </c>
      <c r="E77" s="45" t="s">
        <v>36</v>
      </c>
      <c r="F77" s="66">
        <f>1000+5700+1800+1700+5500+81</f>
        <v>15781</v>
      </c>
      <c r="G77" s="111"/>
      <c r="H77" s="111"/>
      <c r="I77" s="111"/>
      <c r="J77" s="111"/>
      <c r="K77" s="111"/>
      <c r="L77" s="111"/>
      <c r="M77" s="111"/>
      <c r="N77" s="111"/>
      <c r="O77" s="111"/>
      <c r="P77" s="56">
        <f t="shared" si="24"/>
        <v>15781</v>
      </c>
      <c r="Q77" s="111"/>
      <c r="R77" s="306">
        <f t="shared" si="20"/>
        <v>15781</v>
      </c>
      <c r="S77" s="307"/>
    </row>
    <row r="78" spans="2:19" s="73" customFormat="1" ht="25.5">
      <c r="B78" s="39"/>
      <c r="C78" s="44"/>
      <c r="D78" s="44">
        <v>4440</v>
      </c>
      <c r="E78" s="45" t="s">
        <v>58</v>
      </c>
      <c r="F78" s="66">
        <v>35520</v>
      </c>
      <c r="G78" s="111"/>
      <c r="H78" s="111"/>
      <c r="I78" s="111"/>
      <c r="J78" s="111"/>
      <c r="K78" s="111"/>
      <c r="L78" s="111"/>
      <c r="M78" s="111"/>
      <c r="N78" s="111"/>
      <c r="O78" s="111"/>
      <c r="P78" s="56">
        <f t="shared" si="24"/>
        <v>35520</v>
      </c>
      <c r="Q78" s="111"/>
      <c r="R78" s="306">
        <f t="shared" si="20"/>
        <v>35520</v>
      </c>
      <c r="S78" s="307"/>
    </row>
    <row r="79" spans="2:19" s="73" customFormat="1" ht="38.25">
      <c r="B79" s="39"/>
      <c r="C79" s="44"/>
      <c r="D79" s="44">
        <v>4740</v>
      </c>
      <c r="E79" s="45" t="s">
        <v>59</v>
      </c>
      <c r="F79" s="66">
        <f>10000</f>
        <v>10000</v>
      </c>
      <c r="G79" s="111"/>
      <c r="H79" s="111"/>
      <c r="I79" s="111"/>
      <c r="J79" s="111"/>
      <c r="K79" s="111"/>
      <c r="L79" s="111"/>
      <c r="M79" s="111"/>
      <c r="N79" s="111"/>
      <c r="O79" s="111"/>
      <c r="P79" s="56">
        <f t="shared" si="24"/>
        <v>10000</v>
      </c>
      <c r="Q79" s="111"/>
      <c r="R79" s="306">
        <f t="shared" si="20"/>
        <v>10000</v>
      </c>
      <c r="S79" s="307"/>
    </row>
    <row r="80" spans="2:19" s="73" customFormat="1" ht="25.5">
      <c r="B80" s="39"/>
      <c r="C80" s="44"/>
      <c r="D80" s="44">
        <v>4750</v>
      </c>
      <c r="E80" s="45" t="s">
        <v>60</v>
      </c>
      <c r="F80" s="66">
        <f>20000</f>
        <v>20000</v>
      </c>
      <c r="G80" s="111"/>
      <c r="H80" s="111"/>
      <c r="I80" s="111"/>
      <c r="J80" s="111">
        <v>15000</v>
      </c>
      <c r="K80" s="111">
        <v>6100</v>
      </c>
      <c r="L80" s="111"/>
      <c r="M80" s="111"/>
      <c r="N80" s="111"/>
      <c r="O80" s="111"/>
      <c r="P80" s="56">
        <f t="shared" si="24"/>
        <v>41100</v>
      </c>
      <c r="Q80" s="111"/>
      <c r="R80" s="306">
        <f t="shared" si="20"/>
        <v>41100</v>
      </c>
      <c r="S80" s="307"/>
    </row>
    <row r="81" spans="2:19" s="73" customFormat="1" ht="25.5">
      <c r="B81" s="39"/>
      <c r="C81" s="44"/>
      <c r="D81" s="44">
        <v>6050</v>
      </c>
      <c r="E81" s="45" t="s">
        <v>34</v>
      </c>
      <c r="F81" s="66"/>
      <c r="G81" s="111"/>
      <c r="H81" s="111"/>
      <c r="I81" s="111"/>
      <c r="J81" s="111"/>
      <c r="K81" s="111">
        <v>45000</v>
      </c>
      <c r="L81" s="111"/>
      <c r="M81" s="111"/>
      <c r="N81" s="111"/>
      <c r="O81" s="111"/>
      <c r="P81" s="56">
        <f t="shared" si="24"/>
        <v>45000</v>
      </c>
      <c r="Q81" s="111"/>
      <c r="R81" s="306">
        <f t="shared" si="20"/>
        <v>45000</v>
      </c>
      <c r="S81" s="307"/>
    </row>
    <row r="82" spans="2:19" s="73" customFormat="1" ht="25.5">
      <c r="B82" s="39"/>
      <c r="C82" s="44"/>
      <c r="D82" s="44">
        <v>6060</v>
      </c>
      <c r="E82" s="45" t="s">
        <v>45</v>
      </c>
      <c r="F82" s="66">
        <f>60200+22000</f>
        <v>82200</v>
      </c>
      <c r="G82" s="111"/>
      <c r="H82" s="111"/>
      <c r="I82" s="111"/>
      <c r="J82" s="111"/>
      <c r="K82" s="111"/>
      <c r="L82" s="111"/>
      <c r="M82" s="111"/>
      <c r="N82" s="111"/>
      <c r="O82" s="111"/>
      <c r="P82" s="56">
        <f t="shared" si="24"/>
        <v>82200</v>
      </c>
      <c r="Q82" s="111"/>
      <c r="R82" s="306">
        <f t="shared" si="20"/>
        <v>82200</v>
      </c>
      <c r="S82" s="307"/>
    </row>
    <row r="83" spans="2:19" s="73" customFormat="1" ht="12.75">
      <c r="B83" s="39"/>
      <c r="C83" s="27">
        <v>75095</v>
      </c>
      <c r="D83" s="27"/>
      <c r="E83" s="30" t="s">
        <v>21</v>
      </c>
      <c r="F83" s="83">
        <f>SUM(F84:F90)</f>
        <v>88000</v>
      </c>
      <c r="G83" s="84">
        <f>SUM(G84:G90)</f>
        <v>37154</v>
      </c>
      <c r="H83" s="308">
        <f>SUM(H84:H90)</f>
        <v>-5840</v>
      </c>
      <c r="I83" s="84">
        <f>SUM(I84:I88)</f>
        <v>0</v>
      </c>
      <c r="J83" s="84">
        <f>SUM(J84:J88)</f>
        <v>81000</v>
      </c>
      <c r="K83" s="84">
        <f>SUM(K84:K90)</f>
        <v>68546</v>
      </c>
      <c r="L83" s="84">
        <f>SUM(L84:L88)</f>
        <v>0</v>
      </c>
      <c r="M83" s="84">
        <f>SUM(M84:M90)</f>
        <v>22520</v>
      </c>
      <c r="N83" s="84">
        <f>SUM(N84:N90)</f>
        <v>0</v>
      </c>
      <c r="O83" s="84"/>
      <c r="P83" s="58">
        <f>SUM(P84:P90)</f>
        <v>291380</v>
      </c>
      <c r="Q83" s="84">
        <f>SUM(Q84:Q90)</f>
        <v>23350</v>
      </c>
      <c r="R83" s="149">
        <f>SUM(R84:R90)</f>
        <v>314730</v>
      </c>
      <c r="S83" s="305"/>
    </row>
    <row r="84" spans="2:19" s="73" customFormat="1" ht="18" customHeight="1">
      <c r="B84" s="39"/>
      <c r="C84" s="27"/>
      <c r="D84" s="44">
        <v>4170</v>
      </c>
      <c r="E84" s="45" t="s">
        <v>53</v>
      </c>
      <c r="F84" s="66"/>
      <c r="G84" s="111">
        <v>314</v>
      </c>
      <c r="H84" s="111"/>
      <c r="I84" s="111"/>
      <c r="J84" s="111"/>
      <c r="K84" s="111"/>
      <c r="L84" s="111"/>
      <c r="M84" s="111"/>
      <c r="N84" s="111"/>
      <c r="O84" s="111"/>
      <c r="P84" s="56">
        <f aca="true" t="shared" si="25" ref="P84:P90">F84+G84+H84+I84+J84+K84+L84+M84+N84+O84</f>
        <v>314</v>
      </c>
      <c r="Q84" s="111"/>
      <c r="R84" s="306">
        <f t="shared" si="20"/>
        <v>314</v>
      </c>
      <c r="S84" s="307"/>
    </row>
    <row r="85" spans="2:19" s="73" customFormat="1" ht="12.75">
      <c r="B85" s="39"/>
      <c r="C85" s="27"/>
      <c r="D85" s="44">
        <v>4210</v>
      </c>
      <c r="E85" s="45" t="s">
        <v>29</v>
      </c>
      <c r="F85" s="66">
        <f>37000+8000</f>
        <v>45000</v>
      </c>
      <c r="G85" s="111"/>
      <c r="H85" s="111"/>
      <c r="I85" s="111"/>
      <c r="J85" s="111">
        <f>20000+35000</f>
        <v>55000</v>
      </c>
      <c r="K85" s="111"/>
      <c r="L85" s="111"/>
      <c r="M85" s="111"/>
      <c r="N85" s="111"/>
      <c r="O85" s="111"/>
      <c r="P85" s="56">
        <f t="shared" si="25"/>
        <v>100000</v>
      </c>
      <c r="Q85" s="111"/>
      <c r="R85" s="306">
        <f t="shared" si="20"/>
        <v>100000</v>
      </c>
      <c r="S85" s="307"/>
    </row>
    <row r="86" spans="2:19" s="73" customFormat="1" ht="14.25" customHeight="1">
      <c r="B86" s="39"/>
      <c r="C86" s="27"/>
      <c r="D86" s="44">
        <v>4260</v>
      </c>
      <c r="E86" s="45" t="s">
        <v>49</v>
      </c>
      <c r="F86" s="66">
        <v>25000</v>
      </c>
      <c r="G86" s="111"/>
      <c r="H86" s="111"/>
      <c r="I86" s="111"/>
      <c r="J86" s="111"/>
      <c r="K86" s="111"/>
      <c r="L86" s="111"/>
      <c r="M86" s="111"/>
      <c r="N86" s="111"/>
      <c r="O86" s="111"/>
      <c r="P86" s="56">
        <f t="shared" si="25"/>
        <v>25000</v>
      </c>
      <c r="Q86" s="111"/>
      <c r="R86" s="306">
        <f t="shared" si="20"/>
        <v>25000</v>
      </c>
      <c r="S86" s="307"/>
    </row>
    <row r="87" spans="2:19" s="73" customFormat="1" ht="12.75">
      <c r="B87" s="39"/>
      <c r="C87" s="27"/>
      <c r="D87" s="44">
        <v>4270</v>
      </c>
      <c r="E87" s="45" t="s">
        <v>61</v>
      </c>
      <c r="F87" s="66">
        <v>8000</v>
      </c>
      <c r="G87" s="111"/>
      <c r="H87" s="111"/>
      <c r="I87" s="111"/>
      <c r="J87" s="111">
        <v>10000</v>
      </c>
      <c r="K87" s="111">
        <v>3900</v>
      </c>
      <c r="L87" s="111"/>
      <c r="M87" s="111">
        <f>12000+3320</f>
        <v>15320</v>
      </c>
      <c r="N87" s="111"/>
      <c r="O87" s="111"/>
      <c r="P87" s="56">
        <f t="shared" si="25"/>
        <v>37220</v>
      </c>
      <c r="Q87" s="111">
        <v>7350</v>
      </c>
      <c r="R87" s="306">
        <f t="shared" si="20"/>
        <v>44570</v>
      </c>
      <c r="S87" s="315" t="s">
        <v>295</v>
      </c>
    </row>
    <row r="88" spans="2:19" s="73" customFormat="1" ht="17.25" customHeight="1">
      <c r="B88" s="39"/>
      <c r="C88" s="44"/>
      <c r="D88" s="44">
        <v>4300</v>
      </c>
      <c r="E88" s="45" t="s">
        <v>31</v>
      </c>
      <c r="F88" s="66">
        <v>10000</v>
      </c>
      <c r="G88" s="111"/>
      <c r="H88" s="111"/>
      <c r="I88" s="111"/>
      <c r="J88" s="111">
        <v>16000</v>
      </c>
      <c r="K88" s="111"/>
      <c r="L88" s="111"/>
      <c r="M88" s="111"/>
      <c r="N88" s="111"/>
      <c r="O88" s="111"/>
      <c r="P88" s="56">
        <f t="shared" si="25"/>
        <v>26000</v>
      </c>
      <c r="Q88" s="111"/>
      <c r="R88" s="306">
        <f t="shared" si="20"/>
        <v>26000</v>
      </c>
      <c r="S88" s="307"/>
    </row>
    <row r="89" spans="2:19" s="73" customFormat="1" ht="25.5">
      <c r="B89" s="39"/>
      <c r="C89" s="44"/>
      <c r="D89" s="44">
        <v>6050</v>
      </c>
      <c r="E89" s="45" t="s">
        <v>34</v>
      </c>
      <c r="F89" s="66"/>
      <c r="G89" s="111">
        <v>10000</v>
      </c>
      <c r="H89" s="111"/>
      <c r="I89" s="111"/>
      <c r="J89" s="111"/>
      <c r="K89" s="111">
        <v>64646</v>
      </c>
      <c r="L89" s="111"/>
      <c r="M89" s="111"/>
      <c r="N89" s="111"/>
      <c r="O89" s="111"/>
      <c r="P89" s="56">
        <f t="shared" si="25"/>
        <v>74646</v>
      </c>
      <c r="Q89" s="111">
        <v>16000</v>
      </c>
      <c r="R89" s="306">
        <f t="shared" si="20"/>
        <v>90646</v>
      </c>
      <c r="S89" s="315" t="s">
        <v>296</v>
      </c>
    </row>
    <row r="90" spans="2:19" s="73" customFormat="1" ht="25.5">
      <c r="B90" s="39"/>
      <c r="C90" s="44"/>
      <c r="D90" s="44">
        <v>6060</v>
      </c>
      <c r="E90" s="45" t="s">
        <v>45</v>
      </c>
      <c r="F90" s="66"/>
      <c r="G90" s="111">
        <f>22000+4840</f>
        <v>26840</v>
      </c>
      <c r="H90" s="150">
        <v>-5840</v>
      </c>
      <c r="I90" s="111"/>
      <c r="J90" s="111"/>
      <c r="K90" s="111"/>
      <c r="L90" s="111"/>
      <c r="M90" s="111">
        <v>7200</v>
      </c>
      <c r="N90" s="111"/>
      <c r="O90" s="111"/>
      <c r="P90" s="56">
        <f t="shared" si="25"/>
        <v>28200</v>
      </c>
      <c r="Q90" s="111"/>
      <c r="R90" s="306">
        <f t="shared" si="20"/>
        <v>28200</v>
      </c>
      <c r="S90" s="307"/>
    </row>
    <row r="91" spans="2:19" s="73" customFormat="1" ht="38.25">
      <c r="B91" s="47">
        <v>751</v>
      </c>
      <c r="C91" s="48"/>
      <c r="D91" s="48"/>
      <c r="E91" s="49" t="s">
        <v>181</v>
      </c>
      <c r="F91" s="66"/>
      <c r="G91" s="111"/>
      <c r="H91" s="150"/>
      <c r="I91" s="111"/>
      <c r="J91" s="111"/>
      <c r="K91" s="111"/>
      <c r="L91" s="111"/>
      <c r="M91" s="111"/>
      <c r="N91" s="111"/>
      <c r="O91" s="111"/>
      <c r="P91" s="92">
        <f>P92+P94</f>
        <v>12060</v>
      </c>
      <c r="Q91" s="93">
        <f>Q92+Q94</f>
        <v>0</v>
      </c>
      <c r="R91" s="92">
        <f>R92+R94</f>
        <v>12060</v>
      </c>
      <c r="S91" s="319"/>
    </row>
    <row r="92" spans="2:19" s="73" customFormat="1" ht="25.5">
      <c r="B92" s="39"/>
      <c r="C92" s="53">
        <v>75101</v>
      </c>
      <c r="D92" s="53"/>
      <c r="E92" s="148" t="s">
        <v>182</v>
      </c>
      <c r="F92" s="66"/>
      <c r="G92" s="111"/>
      <c r="H92" s="150"/>
      <c r="I92" s="111"/>
      <c r="J92" s="111"/>
      <c r="K92" s="111"/>
      <c r="L92" s="111"/>
      <c r="M92" s="111"/>
      <c r="N92" s="111"/>
      <c r="O92" s="111"/>
      <c r="P92" s="58">
        <f>P93</f>
        <v>1095</v>
      </c>
      <c r="Q92" s="59">
        <f>Q93</f>
        <v>0</v>
      </c>
      <c r="R92" s="149">
        <f>R93</f>
        <v>1095</v>
      </c>
      <c r="S92" s="307"/>
    </row>
    <row r="93" spans="2:19" s="73" customFormat="1" ht="12.75">
      <c r="B93" s="39"/>
      <c r="C93" s="44"/>
      <c r="D93" s="44">
        <v>4300</v>
      </c>
      <c r="E93" s="45" t="s">
        <v>31</v>
      </c>
      <c r="F93" s="66"/>
      <c r="G93" s="111"/>
      <c r="H93" s="150"/>
      <c r="I93" s="111"/>
      <c r="J93" s="111"/>
      <c r="K93" s="111"/>
      <c r="L93" s="111"/>
      <c r="M93" s="111"/>
      <c r="N93" s="111"/>
      <c r="O93" s="111"/>
      <c r="P93" s="56">
        <v>1095</v>
      </c>
      <c r="Q93" s="111"/>
      <c r="R93" s="306">
        <f t="shared" si="20"/>
        <v>1095</v>
      </c>
      <c r="S93" s="307"/>
    </row>
    <row r="94" spans="2:19" s="73" customFormat="1" ht="12.75">
      <c r="B94" s="39"/>
      <c r="C94" s="142">
        <v>75108</v>
      </c>
      <c r="D94" s="15"/>
      <c r="E94" s="31" t="s">
        <v>133</v>
      </c>
      <c r="F94" s="66"/>
      <c r="G94" s="111"/>
      <c r="H94" s="150"/>
      <c r="I94" s="111"/>
      <c r="J94" s="111"/>
      <c r="K94" s="111"/>
      <c r="L94" s="111"/>
      <c r="M94" s="111"/>
      <c r="N94" s="111"/>
      <c r="O94" s="111"/>
      <c r="P94" s="58">
        <f>SUM(P95:P99)</f>
        <v>10965</v>
      </c>
      <c r="Q94" s="59">
        <f>SUM(Q95:Q99)</f>
        <v>0</v>
      </c>
      <c r="R94" s="149">
        <f>SUM(R95:R99)</f>
        <v>10965</v>
      </c>
      <c r="S94" s="307"/>
    </row>
    <row r="95" spans="2:19" s="73" customFormat="1" ht="25.5">
      <c r="B95" s="39"/>
      <c r="C95" s="44"/>
      <c r="D95" s="44">
        <v>3030</v>
      </c>
      <c r="E95" s="45" t="s">
        <v>46</v>
      </c>
      <c r="F95" s="66"/>
      <c r="G95" s="111"/>
      <c r="H95" s="150"/>
      <c r="I95" s="111"/>
      <c r="J95" s="111"/>
      <c r="K95" s="111"/>
      <c r="L95" s="111"/>
      <c r="M95" s="111"/>
      <c r="N95" s="111"/>
      <c r="O95" s="111"/>
      <c r="P95" s="56">
        <v>4950</v>
      </c>
      <c r="Q95" s="111"/>
      <c r="R95" s="306">
        <f t="shared" si="20"/>
        <v>4950</v>
      </c>
      <c r="S95" s="307"/>
    </row>
    <row r="96" spans="2:19" s="73" customFormat="1" ht="12.75">
      <c r="B96" s="39"/>
      <c r="C96" s="44"/>
      <c r="D96" s="44">
        <v>4170</v>
      </c>
      <c r="E96" s="45" t="s">
        <v>53</v>
      </c>
      <c r="F96" s="66"/>
      <c r="G96" s="111"/>
      <c r="H96" s="150"/>
      <c r="I96" s="111"/>
      <c r="J96" s="111"/>
      <c r="K96" s="111"/>
      <c r="L96" s="111"/>
      <c r="M96" s="111"/>
      <c r="N96" s="111"/>
      <c r="O96" s="111"/>
      <c r="P96" s="56">
        <v>3515</v>
      </c>
      <c r="Q96" s="111">
        <v>526</v>
      </c>
      <c r="R96" s="306">
        <f t="shared" si="20"/>
        <v>4041</v>
      </c>
      <c r="S96" s="307"/>
    </row>
    <row r="97" spans="2:19" s="73" customFormat="1" ht="12.75">
      <c r="B97" s="39"/>
      <c r="C97" s="44"/>
      <c r="D97" s="44">
        <v>4210</v>
      </c>
      <c r="E97" s="45" t="s">
        <v>29</v>
      </c>
      <c r="F97" s="66"/>
      <c r="G97" s="111"/>
      <c r="H97" s="150"/>
      <c r="I97" s="111"/>
      <c r="J97" s="111"/>
      <c r="K97" s="111"/>
      <c r="L97" s="111"/>
      <c r="M97" s="111"/>
      <c r="N97" s="111"/>
      <c r="O97" s="111"/>
      <c r="P97" s="56">
        <v>1000</v>
      </c>
      <c r="Q97" s="150">
        <v>-217</v>
      </c>
      <c r="R97" s="306">
        <f t="shared" si="20"/>
        <v>783</v>
      </c>
      <c r="S97" s="307"/>
    </row>
    <row r="98" spans="2:19" s="73" customFormat="1" ht="12.75">
      <c r="B98" s="39"/>
      <c r="C98" s="44"/>
      <c r="D98" s="44">
        <v>4300</v>
      </c>
      <c r="E98" s="45" t="s">
        <v>31</v>
      </c>
      <c r="F98" s="66"/>
      <c r="G98" s="111"/>
      <c r="H98" s="150"/>
      <c r="I98" s="111"/>
      <c r="J98" s="111"/>
      <c r="K98" s="111"/>
      <c r="L98" s="111"/>
      <c r="M98" s="111"/>
      <c r="N98" s="111"/>
      <c r="O98" s="111"/>
      <c r="P98" s="56">
        <v>1000</v>
      </c>
      <c r="Q98" s="150">
        <v>-279</v>
      </c>
      <c r="R98" s="306">
        <f t="shared" si="20"/>
        <v>721</v>
      </c>
      <c r="S98" s="307"/>
    </row>
    <row r="99" spans="2:19" s="73" customFormat="1" ht="12.75">
      <c r="B99" s="39"/>
      <c r="C99" s="44"/>
      <c r="D99" s="44">
        <v>4410</v>
      </c>
      <c r="E99" s="45" t="s">
        <v>50</v>
      </c>
      <c r="F99" s="66"/>
      <c r="G99" s="111"/>
      <c r="H99" s="150"/>
      <c r="I99" s="111"/>
      <c r="J99" s="111"/>
      <c r="K99" s="111"/>
      <c r="L99" s="111"/>
      <c r="M99" s="111"/>
      <c r="N99" s="111"/>
      <c r="O99" s="111"/>
      <c r="P99" s="56">
        <v>500</v>
      </c>
      <c r="Q99" s="150">
        <v>-30</v>
      </c>
      <c r="R99" s="306">
        <f t="shared" si="20"/>
        <v>470</v>
      </c>
      <c r="S99" s="307"/>
    </row>
    <row r="100" spans="2:19" s="73" customFormat="1" ht="25.5">
      <c r="B100" s="47">
        <v>754</v>
      </c>
      <c r="C100" s="48"/>
      <c r="D100" s="48"/>
      <c r="E100" s="49" t="s">
        <v>62</v>
      </c>
      <c r="F100" s="92">
        <f>F101+F104+F117</f>
        <v>126180</v>
      </c>
      <c r="G100" s="93">
        <f aca="true" t="shared" si="26" ref="G100:L100">G101+G104+G117</f>
        <v>0</v>
      </c>
      <c r="H100" s="93">
        <f t="shared" si="26"/>
        <v>0</v>
      </c>
      <c r="I100" s="93">
        <f t="shared" si="26"/>
        <v>0</v>
      </c>
      <c r="J100" s="93">
        <f t="shared" si="26"/>
        <v>800</v>
      </c>
      <c r="K100" s="93">
        <f t="shared" si="26"/>
        <v>0</v>
      </c>
      <c r="L100" s="93">
        <f t="shared" si="26"/>
        <v>0</v>
      </c>
      <c r="M100" s="93">
        <f>M101+M104+M117</f>
        <v>30000</v>
      </c>
      <c r="N100" s="93">
        <f>N101+N104+N117</f>
        <v>0</v>
      </c>
      <c r="O100" s="93"/>
      <c r="P100" s="92">
        <f>P101+P104+P117</f>
        <v>156980</v>
      </c>
      <c r="Q100" s="93">
        <f>Q101+Q104+Q117</f>
        <v>53000</v>
      </c>
      <c r="R100" s="92">
        <f>R101+R104+R117</f>
        <v>209980</v>
      </c>
      <c r="S100" s="312"/>
    </row>
    <row r="101" spans="2:19" s="73" customFormat="1" ht="12.75">
      <c r="B101" s="39"/>
      <c r="C101" s="27">
        <v>75403</v>
      </c>
      <c r="D101" s="27"/>
      <c r="E101" s="30" t="s">
        <v>297</v>
      </c>
      <c r="F101" s="83">
        <f aca="true" t="shared" si="27" ref="F101:N101">SUM(F102:F102)</f>
        <v>2000</v>
      </c>
      <c r="G101" s="84">
        <f t="shared" si="27"/>
        <v>0</v>
      </c>
      <c r="H101" s="84">
        <f t="shared" si="27"/>
        <v>0</v>
      </c>
      <c r="I101" s="84">
        <f t="shared" si="27"/>
        <v>0</v>
      </c>
      <c r="J101" s="84">
        <f t="shared" si="27"/>
        <v>0</v>
      </c>
      <c r="K101" s="84">
        <f t="shared" si="27"/>
        <v>0</v>
      </c>
      <c r="L101" s="84">
        <f t="shared" si="27"/>
        <v>0</v>
      </c>
      <c r="M101" s="84">
        <f t="shared" si="27"/>
        <v>0</v>
      </c>
      <c r="N101" s="84">
        <f t="shared" si="27"/>
        <v>0</v>
      </c>
      <c r="O101" s="84"/>
      <c r="P101" s="58">
        <f>SUM(P102:P103)</f>
        <v>2000</v>
      </c>
      <c r="Q101" s="84">
        <f>SUM(Q102:Q103)</f>
        <v>53000</v>
      </c>
      <c r="R101" s="149">
        <f>SUM(R102:R103)</f>
        <v>55000</v>
      </c>
      <c r="S101" s="305"/>
    </row>
    <row r="102" spans="2:19" s="73" customFormat="1" ht="12.75">
      <c r="B102" s="39"/>
      <c r="C102" s="44"/>
      <c r="D102" s="44">
        <v>4210</v>
      </c>
      <c r="E102" s="45" t="s">
        <v>29</v>
      </c>
      <c r="F102" s="66">
        <v>2000</v>
      </c>
      <c r="G102" s="111"/>
      <c r="H102" s="111"/>
      <c r="I102" s="111"/>
      <c r="J102" s="111"/>
      <c r="K102" s="111"/>
      <c r="L102" s="111"/>
      <c r="M102" s="111"/>
      <c r="N102" s="111"/>
      <c r="O102" s="111"/>
      <c r="P102" s="56">
        <f>F102+G102+H102+I102+J102+K102+L102+M102+N102+O102</f>
        <v>2000</v>
      </c>
      <c r="Q102" s="111"/>
      <c r="R102" s="306">
        <f aca="true" t="shared" si="28" ref="R102:R115">P102+Q102</f>
        <v>2000</v>
      </c>
      <c r="S102" s="307"/>
    </row>
    <row r="103" spans="2:19" s="73" customFormat="1" ht="25.5">
      <c r="B103" s="39"/>
      <c r="C103" s="44"/>
      <c r="D103" s="44">
        <v>6060</v>
      </c>
      <c r="E103" s="45" t="s">
        <v>45</v>
      </c>
      <c r="F103" s="66"/>
      <c r="G103" s="111"/>
      <c r="H103" s="111"/>
      <c r="I103" s="111"/>
      <c r="J103" s="111"/>
      <c r="K103" s="111"/>
      <c r="L103" s="111"/>
      <c r="M103" s="111"/>
      <c r="N103" s="111"/>
      <c r="O103" s="111"/>
      <c r="P103" s="56">
        <f>F103+G103+H103+I103+J103+K103+L103+M103+N103+O103</f>
        <v>0</v>
      </c>
      <c r="Q103" s="111">
        <v>53000</v>
      </c>
      <c r="R103" s="306">
        <f t="shared" si="28"/>
        <v>53000</v>
      </c>
      <c r="S103" s="315" t="s">
        <v>298</v>
      </c>
    </row>
    <row r="104" spans="2:19" s="73" customFormat="1" ht="12.75">
      <c r="B104" s="39"/>
      <c r="C104" s="27">
        <v>75412</v>
      </c>
      <c r="D104" s="27"/>
      <c r="E104" s="30" t="s">
        <v>63</v>
      </c>
      <c r="F104" s="83">
        <f>SUM(F105:F115)</f>
        <v>119180</v>
      </c>
      <c r="G104" s="84">
        <f aca="true" t="shared" si="29" ref="G104:L104">SUM(G105:G115)</f>
        <v>0</v>
      </c>
      <c r="H104" s="84">
        <f t="shared" si="29"/>
        <v>0</v>
      </c>
      <c r="I104" s="84">
        <f t="shared" si="29"/>
        <v>0</v>
      </c>
      <c r="J104" s="84">
        <f t="shared" si="29"/>
        <v>0</v>
      </c>
      <c r="K104" s="84">
        <f t="shared" si="29"/>
        <v>0</v>
      </c>
      <c r="L104" s="84">
        <f t="shared" si="29"/>
        <v>0</v>
      </c>
      <c r="M104" s="84">
        <f>SUM(M105:M115)</f>
        <v>30000</v>
      </c>
      <c r="N104" s="84">
        <f>SUM(N105:N115)</f>
        <v>0</v>
      </c>
      <c r="O104" s="84"/>
      <c r="P104" s="58">
        <f>SUM(P105:P116)</f>
        <v>149180</v>
      </c>
      <c r="Q104" s="84">
        <f>SUM(Q105:Q115)</f>
        <v>0</v>
      </c>
      <c r="R104" s="149">
        <f>SUM(R105:R116)</f>
        <v>149180</v>
      </c>
      <c r="S104" s="305"/>
    </row>
    <row r="105" spans="2:19" s="73" customFormat="1" ht="76.5">
      <c r="B105" s="39"/>
      <c r="C105" s="27"/>
      <c r="D105" s="44">
        <v>6230</v>
      </c>
      <c r="E105" s="45" t="s">
        <v>64</v>
      </c>
      <c r="F105" s="66">
        <v>10000</v>
      </c>
      <c r="G105" s="111"/>
      <c r="H105" s="111"/>
      <c r="I105" s="111"/>
      <c r="J105" s="111"/>
      <c r="K105" s="150">
        <v>-2000</v>
      </c>
      <c r="L105" s="111"/>
      <c r="M105" s="111"/>
      <c r="N105" s="111"/>
      <c r="O105" s="111"/>
      <c r="P105" s="56">
        <f aca="true" t="shared" si="30" ref="P105:P115">F105+G105+H105+I105+J105+K105+L105+M105+N105+O105</f>
        <v>8000</v>
      </c>
      <c r="Q105" s="111"/>
      <c r="R105" s="306">
        <f t="shared" si="28"/>
        <v>8000</v>
      </c>
      <c r="S105" s="307"/>
    </row>
    <row r="106" spans="2:19" s="73" customFormat="1" ht="25.5">
      <c r="B106" s="39"/>
      <c r="C106" s="44"/>
      <c r="D106" s="44">
        <v>3030</v>
      </c>
      <c r="E106" s="45" t="s">
        <v>46</v>
      </c>
      <c r="F106" s="66">
        <v>31000</v>
      </c>
      <c r="G106" s="111"/>
      <c r="H106" s="111"/>
      <c r="I106" s="111"/>
      <c r="J106" s="111"/>
      <c r="K106" s="150">
        <v>-5000</v>
      </c>
      <c r="L106" s="111"/>
      <c r="M106" s="111"/>
      <c r="N106" s="111"/>
      <c r="O106" s="111"/>
      <c r="P106" s="56">
        <f t="shared" si="30"/>
        <v>26000</v>
      </c>
      <c r="Q106" s="111"/>
      <c r="R106" s="306">
        <f t="shared" si="28"/>
        <v>26000</v>
      </c>
      <c r="S106" s="307"/>
    </row>
    <row r="107" spans="2:19" s="73" customFormat="1" ht="12.75">
      <c r="B107" s="39"/>
      <c r="C107" s="44"/>
      <c r="D107" s="44">
        <v>4170</v>
      </c>
      <c r="E107" s="45" t="s">
        <v>53</v>
      </c>
      <c r="F107" s="66">
        <v>2880</v>
      </c>
      <c r="G107" s="111"/>
      <c r="H107" s="111"/>
      <c r="I107" s="111"/>
      <c r="J107" s="111"/>
      <c r="K107" s="111"/>
      <c r="L107" s="111"/>
      <c r="M107" s="111"/>
      <c r="N107" s="111"/>
      <c r="O107" s="111"/>
      <c r="P107" s="56">
        <f t="shared" si="30"/>
        <v>2880</v>
      </c>
      <c r="Q107" s="111"/>
      <c r="R107" s="306">
        <f t="shared" si="28"/>
        <v>2880</v>
      </c>
      <c r="S107" s="307"/>
    </row>
    <row r="108" spans="2:19" s="73" customFormat="1" ht="23.25" customHeight="1">
      <c r="B108" s="39"/>
      <c r="C108" s="44"/>
      <c r="D108" s="44">
        <v>4210</v>
      </c>
      <c r="E108" s="45" t="s">
        <v>29</v>
      </c>
      <c r="F108" s="66">
        <v>35000</v>
      </c>
      <c r="G108" s="111"/>
      <c r="H108" s="111"/>
      <c r="I108" s="111"/>
      <c r="J108" s="111"/>
      <c r="K108" s="111"/>
      <c r="L108" s="111"/>
      <c r="M108" s="111">
        <v>20000</v>
      </c>
      <c r="N108" s="111"/>
      <c r="O108" s="150"/>
      <c r="P108" s="56">
        <f t="shared" si="30"/>
        <v>55000</v>
      </c>
      <c r="Q108" s="150">
        <v>-6000</v>
      </c>
      <c r="R108" s="306">
        <f t="shared" si="28"/>
        <v>49000</v>
      </c>
      <c r="S108" s="307"/>
    </row>
    <row r="109" spans="2:19" s="73" customFormat="1" ht="14.25" customHeight="1">
      <c r="B109" s="39"/>
      <c r="C109" s="44"/>
      <c r="D109" s="44">
        <v>4260</v>
      </c>
      <c r="E109" s="45" t="s">
        <v>49</v>
      </c>
      <c r="F109" s="66">
        <v>10000</v>
      </c>
      <c r="G109" s="111"/>
      <c r="H109" s="111"/>
      <c r="I109" s="111"/>
      <c r="J109" s="111"/>
      <c r="K109" s="111"/>
      <c r="L109" s="150">
        <v>-3000</v>
      </c>
      <c r="M109" s="111"/>
      <c r="N109" s="111"/>
      <c r="O109" s="111"/>
      <c r="P109" s="56">
        <f t="shared" si="30"/>
        <v>7000</v>
      </c>
      <c r="Q109" s="111">
        <v>6000</v>
      </c>
      <c r="R109" s="306">
        <f t="shared" si="28"/>
        <v>13000</v>
      </c>
      <c r="S109" s="307"/>
    </row>
    <row r="110" spans="2:19" s="73" customFormat="1" ht="12.75">
      <c r="B110" s="39"/>
      <c r="C110" s="44"/>
      <c r="D110" s="44">
        <v>4270</v>
      </c>
      <c r="E110" s="45" t="s">
        <v>61</v>
      </c>
      <c r="F110" s="66">
        <v>10000</v>
      </c>
      <c r="G110" s="111"/>
      <c r="H110" s="111"/>
      <c r="I110" s="111"/>
      <c r="J110" s="111"/>
      <c r="K110" s="111">
        <v>7000</v>
      </c>
      <c r="L110" s="111"/>
      <c r="M110" s="111">
        <v>5000</v>
      </c>
      <c r="N110" s="111"/>
      <c r="O110" s="111"/>
      <c r="P110" s="56">
        <f t="shared" si="30"/>
        <v>22000</v>
      </c>
      <c r="Q110" s="111"/>
      <c r="R110" s="306">
        <f t="shared" si="28"/>
        <v>22000</v>
      </c>
      <c r="S110" s="307"/>
    </row>
    <row r="111" spans="2:19" s="73" customFormat="1" ht="12.75">
      <c r="B111" s="39"/>
      <c r="C111" s="44"/>
      <c r="D111" s="44">
        <v>4280</v>
      </c>
      <c r="E111" s="45" t="s">
        <v>54</v>
      </c>
      <c r="F111" s="66">
        <v>1800</v>
      </c>
      <c r="G111" s="111"/>
      <c r="H111" s="111"/>
      <c r="I111" s="111"/>
      <c r="J111" s="111"/>
      <c r="K111" s="111"/>
      <c r="L111" s="111"/>
      <c r="M111" s="111"/>
      <c r="N111" s="111"/>
      <c r="O111" s="111"/>
      <c r="P111" s="56">
        <f t="shared" si="30"/>
        <v>1800</v>
      </c>
      <c r="Q111" s="111"/>
      <c r="R111" s="306">
        <f t="shared" si="28"/>
        <v>1800</v>
      </c>
      <c r="S111" s="307"/>
    </row>
    <row r="112" spans="2:19" s="73" customFormat="1" ht="15.75" customHeight="1">
      <c r="B112" s="39"/>
      <c r="C112" s="44"/>
      <c r="D112" s="44">
        <v>4300</v>
      </c>
      <c r="E112" s="45" t="s">
        <v>31</v>
      </c>
      <c r="F112" s="66">
        <v>3800</v>
      </c>
      <c r="G112" s="111"/>
      <c r="H112" s="111"/>
      <c r="I112" s="111"/>
      <c r="J112" s="111"/>
      <c r="K112" s="111"/>
      <c r="L112" s="111">
        <v>3000</v>
      </c>
      <c r="M112" s="111">
        <v>5000</v>
      </c>
      <c r="N112" s="111"/>
      <c r="O112" s="111"/>
      <c r="P112" s="56">
        <f t="shared" si="30"/>
        <v>11800</v>
      </c>
      <c r="Q112" s="111"/>
      <c r="R112" s="306">
        <f t="shared" si="28"/>
        <v>11800</v>
      </c>
      <c r="S112" s="307"/>
    </row>
    <row r="113" spans="2:19" s="73" customFormat="1" ht="38.25">
      <c r="B113" s="39"/>
      <c r="C113" s="44"/>
      <c r="D113" s="44">
        <v>4360</v>
      </c>
      <c r="E113" s="45" t="s">
        <v>56</v>
      </c>
      <c r="F113" s="66">
        <v>200</v>
      </c>
      <c r="G113" s="111"/>
      <c r="H113" s="111"/>
      <c r="I113" s="111"/>
      <c r="J113" s="111"/>
      <c r="K113" s="111"/>
      <c r="L113" s="111"/>
      <c r="M113" s="111"/>
      <c r="N113" s="111"/>
      <c r="O113" s="111"/>
      <c r="P113" s="56">
        <f t="shared" si="30"/>
        <v>200</v>
      </c>
      <c r="Q113" s="111"/>
      <c r="R113" s="306">
        <f t="shared" si="28"/>
        <v>200</v>
      </c>
      <c r="S113" s="307"/>
    </row>
    <row r="114" spans="2:19" s="73" customFormat="1" ht="12.75">
      <c r="B114" s="39"/>
      <c r="C114" s="44"/>
      <c r="D114" s="44">
        <v>4410</v>
      </c>
      <c r="E114" s="45" t="s">
        <v>50</v>
      </c>
      <c r="F114" s="66">
        <v>500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56">
        <f t="shared" si="30"/>
        <v>500</v>
      </c>
      <c r="Q114" s="111"/>
      <c r="R114" s="306">
        <f t="shared" si="28"/>
        <v>500</v>
      </c>
      <c r="S114" s="307"/>
    </row>
    <row r="115" spans="2:19" s="73" customFormat="1" ht="14.25" customHeight="1">
      <c r="B115" s="39"/>
      <c r="C115" s="44"/>
      <c r="D115" s="44">
        <v>4430</v>
      </c>
      <c r="E115" s="45" t="s">
        <v>36</v>
      </c>
      <c r="F115" s="66">
        <v>14000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56">
        <f t="shared" si="30"/>
        <v>14000</v>
      </c>
      <c r="Q115" s="111"/>
      <c r="R115" s="306">
        <f t="shared" si="28"/>
        <v>14000</v>
      </c>
      <c r="S115" s="307"/>
    </row>
    <row r="116" spans="2:19" s="73" customFormat="1" ht="25.5" customHeight="1" hidden="1">
      <c r="B116" s="39"/>
      <c r="C116" s="44"/>
      <c r="D116" s="44">
        <v>6050</v>
      </c>
      <c r="E116" s="45" t="s">
        <v>34</v>
      </c>
      <c r="F116" s="66"/>
      <c r="G116" s="111"/>
      <c r="H116" s="111"/>
      <c r="I116" s="111"/>
      <c r="J116" s="111"/>
      <c r="K116" s="111"/>
      <c r="L116" s="111"/>
      <c r="M116" s="111"/>
      <c r="N116" s="111"/>
      <c r="O116" s="111"/>
      <c r="P116" s="56">
        <f>F116+G116+H116+I116+J116+K116+L116</f>
        <v>0</v>
      </c>
      <c r="Q116" s="111"/>
      <c r="R116" s="306">
        <f>G116+I116+J116+K116+L116+M116+N116</f>
        <v>0</v>
      </c>
      <c r="S116" s="307"/>
    </row>
    <row r="117" spans="2:19" s="73" customFormat="1" ht="12.75">
      <c r="B117" s="39"/>
      <c r="C117" s="27">
        <v>75414</v>
      </c>
      <c r="D117" s="27"/>
      <c r="E117" s="30" t="s">
        <v>65</v>
      </c>
      <c r="F117" s="83">
        <f>SUM(F118:F121)</f>
        <v>5000</v>
      </c>
      <c r="G117" s="84">
        <f aca="true" t="shared" si="31" ref="G117:L117">SUM(G118:G121)</f>
        <v>0</v>
      </c>
      <c r="H117" s="84">
        <f t="shared" si="31"/>
        <v>0</v>
      </c>
      <c r="I117" s="84">
        <f t="shared" si="31"/>
        <v>0</v>
      </c>
      <c r="J117" s="84">
        <f t="shared" si="31"/>
        <v>800</v>
      </c>
      <c r="K117" s="84">
        <f t="shared" si="31"/>
        <v>0</v>
      </c>
      <c r="L117" s="84">
        <f t="shared" si="31"/>
        <v>0</v>
      </c>
      <c r="M117" s="84">
        <f>SUM(M118:M121)</f>
        <v>0</v>
      </c>
      <c r="N117" s="84">
        <f>SUM(N118:N121)</f>
        <v>0</v>
      </c>
      <c r="O117" s="84"/>
      <c r="P117" s="58">
        <f>SUM(P118:P121)</f>
        <v>5800</v>
      </c>
      <c r="Q117" s="84">
        <f>SUM(Q118:Q121)</f>
        <v>0</v>
      </c>
      <c r="R117" s="149">
        <f>SUM(R118:R121)</f>
        <v>5800</v>
      </c>
      <c r="S117" s="305"/>
    </row>
    <row r="118" spans="2:19" s="73" customFormat="1" ht="12.75" customHeight="1">
      <c r="B118" s="39"/>
      <c r="C118" s="44"/>
      <c r="D118" s="44">
        <v>4170</v>
      </c>
      <c r="E118" s="45" t="s">
        <v>53</v>
      </c>
      <c r="F118" s="66">
        <v>400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56">
        <f>F118+G118+H118+I118+J118+K118+L118+M118+N118+O118</f>
        <v>400</v>
      </c>
      <c r="Q118" s="111"/>
      <c r="R118" s="306">
        <f>P118+Q118</f>
        <v>400</v>
      </c>
      <c r="S118" s="307"/>
    </row>
    <row r="119" spans="2:19" s="73" customFormat="1" ht="12.75">
      <c r="B119" s="39"/>
      <c r="C119" s="44"/>
      <c r="D119" s="44">
        <v>4210</v>
      </c>
      <c r="E119" s="45" t="s">
        <v>29</v>
      </c>
      <c r="F119" s="66">
        <v>4000</v>
      </c>
      <c r="G119" s="111"/>
      <c r="H119" s="111"/>
      <c r="I119" s="111"/>
      <c r="J119" s="111">
        <v>800</v>
      </c>
      <c r="K119" s="111"/>
      <c r="L119" s="111"/>
      <c r="M119" s="111"/>
      <c r="N119" s="111"/>
      <c r="O119" s="111"/>
      <c r="P119" s="56">
        <f>F119+G119+H119+I119+J119+K119+L119+M119+N119+O119</f>
        <v>4800</v>
      </c>
      <c r="Q119" s="111"/>
      <c r="R119" s="306">
        <f>P119+Q119</f>
        <v>4800</v>
      </c>
      <c r="S119" s="307"/>
    </row>
    <row r="120" spans="2:19" s="73" customFormat="1" ht="12.75">
      <c r="B120" s="39"/>
      <c r="C120" s="44"/>
      <c r="D120" s="44">
        <v>4300</v>
      </c>
      <c r="E120" s="45" t="s">
        <v>31</v>
      </c>
      <c r="F120" s="66">
        <v>500</v>
      </c>
      <c r="G120" s="111"/>
      <c r="H120" s="111"/>
      <c r="I120" s="111"/>
      <c r="J120" s="111"/>
      <c r="K120" s="111"/>
      <c r="L120" s="111"/>
      <c r="M120" s="111"/>
      <c r="N120" s="111"/>
      <c r="O120" s="111"/>
      <c r="P120" s="56">
        <f>F120+G120+H120+I120+J120+K120+L120+M120+N120+O120</f>
        <v>500</v>
      </c>
      <c r="Q120" s="111"/>
      <c r="R120" s="306">
        <f>P120+Q120</f>
        <v>500</v>
      </c>
      <c r="S120" s="307"/>
    </row>
    <row r="121" spans="2:19" s="73" customFormat="1" ht="12.75">
      <c r="B121" s="39"/>
      <c r="C121" s="44"/>
      <c r="D121" s="44">
        <v>4410</v>
      </c>
      <c r="E121" s="45" t="s">
        <v>50</v>
      </c>
      <c r="F121" s="66">
        <v>100</v>
      </c>
      <c r="G121" s="111"/>
      <c r="H121" s="111"/>
      <c r="I121" s="111"/>
      <c r="J121" s="111"/>
      <c r="K121" s="111"/>
      <c r="L121" s="111"/>
      <c r="M121" s="111"/>
      <c r="N121" s="111"/>
      <c r="O121" s="111"/>
      <c r="P121" s="56">
        <f>F121+G121+H121+I121+J121+K121+L121+M121+N121+O121</f>
        <v>100</v>
      </c>
      <c r="Q121" s="111"/>
      <c r="R121" s="306">
        <f>P121+Q121</f>
        <v>100</v>
      </c>
      <c r="S121" s="307"/>
    </row>
    <row r="122" spans="2:19" s="73" customFormat="1" ht="12.75">
      <c r="B122" s="47">
        <v>758</v>
      </c>
      <c r="C122" s="48"/>
      <c r="D122" s="48"/>
      <c r="E122" s="49" t="s">
        <v>15</v>
      </c>
      <c r="F122" s="92">
        <f>F123</f>
        <v>50000</v>
      </c>
      <c r="G122" s="93">
        <f aca="true" t="shared" si="32" ref="G122:N122">G123</f>
        <v>0</v>
      </c>
      <c r="H122" s="93">
        <f t="shared" si="32"/>
        <v>0</v>
      </c>
      <c r="I122" s="93">
        <f t="shared" si="32"/>
        <v>0</v>
      </c>
      <c r="J122" s="93">
        <f t="shared" si="32"/>
        <v>50000</v>
      </c>
      <c r="K122" s="93">
        <f t="shared" si="32"/>
        <v>0</v>
      </c>
      <c r="L122" s="311">
        <f t="shared" si="32"/>
        <v>-35015</v>
      </c>
      <c r="M122" s="93">
        <f t="shared" si="32"/>
        <v>120000</v>
      </c>
      <c r="N122" s="93">
        <f t="shared" si="32"/>
        <v>0</v>
      </c>
      <c r="O122" s="311"/>
      <c r="P122" s="92">
        <f>P123</f>
        <v>184985</v>
      </c>
      <c r="Q122" s="311">
        <f>Q123</f>
        <v>-134686</v>
      </c>
      <c r="R122" s="92">
        <f>R123</f>
        <v>50299</v>
      </c>
      <c r="S122" s="312"/>
    </row>
    <row r="123" spans="2:19" s="73" customFormat="1" ht="16.5" customHeight="1">
      <c r="B123" s="39"/>
      <c r="C123" s="27">
        <v>75818</v>
      </c>
      <c r="D123" s="27"/>
      <c r="E123" s="30" t="s">
        <v>299</v>
      </c>
      <c r="F123" s="83">
        <f aca="true" t="shared" si="33" ref="F123:N123">SUM(F124:F124)</f>
        <v>50000</v>
      </c>
      <c r="G123" s="84">
        <f t="shared" si="33"/>
        <v>0</v>
      </c>
      <c r="H123" s="84">
        <f t="shared" si="33"/>
        <v>0</v>
      </c>
      <c r="I123" s="84">
        <f t="shared" si="33"/>
        <v>0</v>
      </c>
      <c r="J123" s="84">
        <f t="shared" si="33"/>
        <v>50000</v>
      </c>
      <c r="K123" s="84">
        <f t="shared" si="33"/>
        <v>0</v>
      </c>
      <c r="L123" s="308">
        <f t="shared" si="33"/>
        <v>-35015</v>
      </c>
      <c r="M123" s="84">
        <f t="shared" si="33"/>
        <v>120000</v>
      </c>
      <c r="N123" s="84">
        <f t="shared" si="33"/>
        <v>0</v>
      </c>
      <c r="O123" s="308"/>
      <c r="P123" s="316">
        <f>SUM(P124:P124)</f>
        <v>184985</v>
      </c>
      <c r="Q123" s="308">
        <f>SUM(Q124:Q124)</f>
        <v>-134686</v>
      </c>
      <c r="R123" s="317">
        <f>SUM(R124:R124)</f>
        <v>50299</v>
      </c>
      <c r="S123" s="318"/>
    </row>
    <row r="124" spans="2:19" s="73" customFormat="1" ht="17.25" customHeight="1">
      <c r="B124" s="39"/>
      <c r="C124" s="44"/>
      <c r="D124" s="44">
        <v>4810</v>
      </c>
      <c r="E124" s="45" t="s">
        <v>300</v>
      </c>
      <c r="F124" s="66">
        <v>50000</v>
      </c>
      <c r="G124" s="150"/>
      <c r="H124" s="111"/>
      <c r="I124" s="111"/>
      <c r="J124" s="111">
        <v>50000</v>
      </c>
      <c r="K124" s="111"/>
      <c r="L124" s="150">
        <v>-35015</v>
      </c>
      <c r="M124" s="111">
        <v>120000</v>
      </c>
      <c r="N124" s="111"/>
      <c r="O124" s="150"/>
      <c r="P124" s="56">
        <f>F124+G124+H124+I124+J124+K124+L124+M124+N124+O124</f>
        <v>184985</v>
      </c>
      <c r="Q124" s="150">
        <v>-134686</v>
      </c>
      <c r="R124" s="306">
        <f>P124+Q124</f>
        <v>50299</v>
      </c>
      <c r="S124" s="315" t="s">
        <v>301</v>
      </c>
    </row>
    <row r="125" spans="2:19" s="73" customFormat="1" ht="12.75">
      <c r="B125" s="47">
        <v>801</v>
      </c>
      <c r="C125" s="48"/>
      <c r="D125" s="48"/>
      <c r="E125" s="49" t="s">
        <v>16</v>
      </c>
      <c r="F125" s="92">
        <f>F126+F163+F186+F207+F216+F233+F231+F147</f>
        <v>5978295</v>
      </c>
      <c r="G125" s="93">
        <f aca="true" t="shared" si="34" ref="G125:P125">G126+G163+G186+G207+G216+G233+G231+G147</f>
        <v>0</v>
      </c>
      <c r="H125" s="93">
        <f t="shared" si="34"/>
        <v>0</v>
      </c>
      <c r="I125" s="93">
        <f t="shared" si="34"/>
        <v>0</v>
      </c>
      <c r="J125" s="93">
        <f t="shared" si="34"/>
        <v>46890</v>
      </c>
      <c r="K125" s="93">
        <f t="shared" si="34"/>
        <v>223667</v>
      </c>
      <c r="L125" s="93">
        <f t="shared" si="34"/>
        <v>0</v>
      </c>
      <c r="M125" s="93">
        <f>M126+M163+M186+M207+M216+M233+M231+M147</f>
        <v>161020</v>
      </c>
      <c r="N125" s="93">
        <f>N126+N163+N186+N207+N216+N233+N231+N147</f>
        <v>14067</v>
      </c>
      <c r="O125" s="93"/>
      <c r="P125" s="92">
        <f t="shared" si="34"/>
        <v>6423939</v>
      </c>
      <c r="Q125" s="93">
        <f>Q126+Q163+Q186+Q207+Q216+Q233+Q231+Q147</f>
        <v>144586</v>
      </c>
      <c r="R125" s="92">
        <f>R126+R163+R186+R207+R216+R233+R231+R147</f>
        <v>6568525</v>
      </c>
      <c r="S125" s="312"/>
    </row>
    <row r="126" spans="2:19" s="73" customFormat="1" ht="12.75">
      <c r="B126" s="39"/>
      <c r="C126" s="27">
        <v>80101</v>
      </c>
      <c r="D126" s="27"/>
      <c r="E126" s="30" t="s">
        <v>17</v>
      </c>
      <c r="F126" s="83">
        <f>SUM(F127:F146)</f>
        <v>2673790</v>
      </c>
      <c r="G126" s="84">
        <f aca="true" t="shared" si="35" ref="G126:L126">SUM(G127:G146)</f>
        <v>0</v>
      </c>
      <c r="H126" s="84">
        <f t="shared" si="35"/>
        <v>0</v>
      </c>
      <c r="I126" s="84">
        <f t="shared" si="35"/>
        <v>0</v>
      </c>
      <c r="J126" s="84">
        <f>SUM(J127:J146)</f>
        <v>21890</v>
      </c>
      <c r="K126" s="84">
        <f t="shared" si="35"/>
        <v>129600</v>
      </c>
      <c r="L126" s="84">
        <f t="shared" si="35"/>
        <v>0</v>
      </c>
      <c r="M126" s="84">
        <f>SUM(M127:M146)</f>
        <v>57820</v>
      </c>
      <c r="N126" s="84">
        <f>SUM(N127:N146)</f>
        <v>0</v>
      </c>
      <c r="O126" s="84"/>
      <c r="P126" s="58">
        <f>SUM(P127:P146)</f>
        <v>2883100</v>
      </c>
      <c r="Q126" s="84">
        <f>SUM(Q127:Q146)</f>
        <v>90160</v>
      </c>
      <c r="R126" s="149">
        <f>SUM(R127:R146)</f>
        <v>2973260</v>
      </c>
      <c r="S126" s="305"/>
    </row>
    <row r="127" spans="2:19" s="73" customFormat="1" ht="27" customHeight="1">
      <c r="B127" s="39"/>
      <c r="C127" s="44"/>
      <c r="D127" s="44">
        <v>3020</v>
      </c>
      <c r="E127" s="45" t="s">
        <v>51</v>
      </c>
      <c r="F127" s="66">
        <v>84000</v>
      </c>
      <c r="G127" s="111"/>
      <c r="H127" s="111"/>
      <c r="I127" s="111"/>
      <c r="J127" s="111"/>
      <c r="K127" s="111"/>
      <c r="L127" s="111"/>
      <c r="M127" s="111">
        <v>11000</v>
      </c>
      <c r="N127" s="111"/>
      <c r="O127" s="111"/>
      <c r="P127" s="56">
        <f aca="true" t="shared" si="36" ref="P127:P146">F127+G127+H127+I127+J127+K127+L127+M127+N127+O127</f>
        <v>95000</v>
      </c>
      <c r="Q127" s="111">
        <v>5000</v>
      </c>
      <c r="R127" s="306">
        <f aca="true" t="shared" si="37" ref="R127:R190">P127+Q127</f>
        <v>100000</v>
      </c>
      <c r="S127" s="307"/>
    </row>
    <row r="128" spans="2:19" s="73" customFormat="1" ht="12.75" customHeight="1" hidden="1">
      <c r="B128" s="39"/>
      <c r="C128" s="44"/>
      <c r="D128" s="44">
        <v>3260</v>
      </c>
      <c r="E128" s="45" t="s">
        <v>302</v>
      </c>
      <c r="F128" s="66"/>
      <c r="G128" s="111"/>
      <c r="H128" s="111"/>
      <c r="I128" s="111"/>
      <c r="J128" s="111"/>
      <c r="K128" s="111"/>
      <c r="L128" s="111"/>
      <c r="M128" s="111"/>
      <c r="N128" s="111"/>
      <c r="O128" s="111"/>
      <c r="P128" s="56">
        <f t="shared" si="36"/>
        <v>0</v>
      </c>
      <c r="Q128" s="111"/>
      <c r="R128" s="306">
        <f t="shared" si="37"/>
        <v>0</v>
      </c>
      <c r="S128" s="307"/>
    </row>
    <row r="129" spans="2:19" s="73" customFormat="1" ht="12.75">
      <c r="B129" s="39"/>
      <c r="C129" s="44"/>
      <c r="D129" s="44">
        <v>4010</v>
      </c>
      <c r="E129" s="45" t="s">
        <v>47</v>
      </c>
      <c r="F129" s="66">
        <v>1598500</v>
      </c>
      <c r="G129" s="111"/>
      <c r="H129" s="111"/>
      <c r="I129" s="111"/>
      <c r="J129" s="111">
        <v>15050</v>
      </c>
      <c r="K129" s="111"/>
      <c r="L129" s="111"/>
      <c r="M129" s="111">
        <v>12204</v>
      </c>
      <c r="N129" s="111"/>
      <c r="O129" s="111"/>
      <c r="P129" s="56">
        <f t="shared" si="36"/>
        <v>1625754</v>
      </c>
      <c r="Q129" s="111">
        <v>84800</v>
      </c>
      <c r="R129" s="306">
        <f t="shared" si="37"/>
        <v>1710554</v>
      </c>
      <c r="S129" s="315" t="s">
        <v>303</v>
      </c>
    </row>
    <row r="130" spans="2:19" s="73" customFormat="1" ht="12.75">
      <c r="B130" s="39"/>
      <c r="C130" s="44"/>
      <c r="D130" s="44">
        <v>4040</v>
      </c>
      <c r="E130" s="45" t="s">
        <v>52</v>
      </c>
      <c r="F130" s="66">
        <v>122600</v>
      </c>
      <c r="G130" s="111"/>
      <c r="H130" s="111"/>
      <c r="I130" s="111"/>
      <c r="J130" s="111">
        <v>1685</v>
      </c>
      <c r="K130" s="111"/>
      <c r="L130" s="111"/>
      <c r="M130" s="111"/>
      <c r="N130" s="111"/>
      <c r="O130" s="111"/>
      <c r="P130" s="56">
        <f t="shared" si="36"/>
        <v>124285</v>
      </c>
      <c r="Q130" s="111"/>
      <c r="R130" s="306">
        <f t="shared" si="37"/>
        <v>124285</v>
      </c>
      <c r="S130" s="307"/>
    </row>
    <row r="131" spans="2:19" s="73" customFormat="1" ht="12.75">
      <c r="B131" s="39"/>
      <c r="C131" s="44"/>
      <c r="D131" s="44">
        <v>4110</v>
      </c>
      <c r="E131" s="45" t="s">
        <v>48</v>
      </c>
      <c r="F131" s="66">
        <v>336600</v>
      </c>
      <c r="G131" s="111"/>
      <c r="H131" s="111"/>
      <c r="I131" s="111"/>
      <c r="J131" s="111"/>
      <c r="K131" s="111"/>
      <c r="L131" s="111"/>
      <c r="M131" s="150">
        <f>-10000+2116</f>
        <v>-7884</v>
      </c>
      <c r="N131" s="150"/>
      <c r="O131" s="150"/>
      <c r="P131" s="56">
        <f t="shared" si="36"/>
        <v>328716</v>
      </c>
      <c r="Q131" s="150">
        <v>-19000</v>
      </c>
      <c r="R131" s="306">
        <f t="shared" si="37"/>
        <v>309716</v>
      </c>
      <c r="S131" s="307"/>
    </row>
    <row r="132" spans="2:19" s="73" customFormat="1" ht="12.75">
      <c r="B132" s="39"/>
      <c r="C132" s="44"/>
      <c r="D132" s="44">
        <v>4120</v>
      </c>
      <c r="E132" s="45" t="s">
        <v>180</v>
      </c>
      <c r="F132" s="66">
        <v>45900</v>
      </c>
      <c r="G132" s="111"/>
      <c r="H132" s="111"/>
      <c r="I132" s="111"/>
      <c r="J132" s="111"/>
      <c r="K132" s="111"/>
      <c r="L132" s="111"/>
      <c r="M132" s="111">
        <v>300</v>
      </c>
      <c r="N132" s="111"/>
      <c r="O132" s="150"/>
      <c r="P132" s="56">
        <f t="shared" si="36"/>
        <v>46200</v>
      </c>
      <c r="Q132" s="150">
        <v>-600</v>
      </c>
      <c r="R132" s="306">
        <f t="shared" si="37"/>
        <v>45600</v>
      </c>
      <c r="S132" s="307"/>
    </row>
    <row r="133" spans="2:19" s="73" customFormat="1" ht="12.75">
      <c r="B133" s="39"/>
      <c r="C133" s="44"/>
      <c r="D133" s="44">
        <v>4210</v>
      </c>
      <c r="E133" s="45" t="s">
        <v>29</v>
      </c>
      <c r="F133" s="66">
        <v>162000</v>
      </c>
      <c r="G133" s="111"/>
      <c r="H133" s="111"/>
      <c r="I133" s="150">
        <v>-50000</v>
      </c>
      <c r="J133" s="111">
        <v>3802</v>
      </c>
      <c r="K133" s="111">
        <v>29600</v>
      </c>
      <c r="L133" s="111"/>
      <c r="M133" s="111"/>
      <c r="N133" s="111"/>
      <c r="O133" s="111"/>
      <c r="P133" s="56">
        <f t="shared" si="36"/>
        <v>145402</v>
      </c>
      <c r="Q133" s="111"/>
      <c r="R133" s="306">
        <f t="shared" si="37"/>
        <v>145402</v>
      </c>
      <c r="S133" s="307"/>
    </row>
    <row r="134" spans="2:19" s="73" customFormat="1" ht="12.75">
      <c r="B134" s="39"/>
      <c r="C134" s="44"/>
      <c r="D134" s="44">
        <v>4240</v>
      </c>
      <c r="E134" s="45" t="s">
        <v>183</v>
      </c>
      <c r="F134" s="66">
        <v>7400</v>
      </c>
      <c r="G134" s="111"/>
      <c r="H134" s="111"/>
      <c r="I134" s="111"/>
      <c r="J134" s="150">
        <v>-407</v>
      </c>
      <c r="K134" s="150">
        <v>-200</v>
      </c>
      <c r="L134" s="111"/>
      <c r="M134" s="111"/>
      <c r="N134" s="111"/>
      <c r="O134" s="150"/>
      <c r="P134" s="56">
        <f t="shared" si="36"/>
        <v>6793</v>
      </c>
      <c r="Q134" s="150">
        <v>-500</v>
      </c>
      <c r="R134" s="306">
        <f t="shared" si="37"/>
        <v>6293</v>
      </c>
      <c r="S134" s="307"/>
    </row>
    <row r="135" spans="2:19" s="73" customFormat="1" ht="12.75">
      <c r="B135" s="39"/>
      <c r="C135" s="44"/>
      <c r="D135" s="44">
        <v>4260</v>
      </c>
      <c r="E135" s="45" t="s">
        <v>49</v>
      </c>
      <c r="F135" s="66">
        <v>129000</v>
      </c>
      <c r="G135" s="111"/>
      <c r="H135" s="111"/>
      <c r="I135" s="111"/>
      <c r="J135" s="150">
        <v>-1307</v>
      </c>
      <c r="K135" s="111"/>
      <c r="L135" s="111"/>
      <c r="M135" s="111"/>
      <c r="N135" s="111"/>
      <c r="O135" s="150"/>
      <c r="P135" s="56">
        <f t="shared" si="36"/>
        <v>127693</v>
      </c>
      <c r="Q135" s="150">
        <v>-3000</v>
      </c>
      <c r="R135" s="306">
        <f t="shared" si="37"/>
        <v>124693</v>
      </c>
      <c r="S135" s="307"/>
    </row>
    <row r="136" spans="2:19" s="73" customFormat="1" ht="12.75">
      <c r="B136" s="39"/>
      <c r="C136" s="44"/>
      <c r="D136" s="44">
        <v>4270</v>
      </c>
      <c r="E136" s="45" t="s">
        <v>30</v>
      </c>
      <c r="F136" s="66">
        <v>9000</v>
      </c>
      <c r="G136" s="111">
        <v>4500</v>
      </c>
      <c r="H136" s="111"/>
      <c r="I136" s="111">
        <v>50000</v>
      </c>
      <c r="J136" s="111">
        <v>6840</v>
      </c>
      <c r="K136" s="111">
        <v>100000</v>
      </c>
      <c r="L136" s="111"/>
      <c r="M136" s="111">
        <v>30000</v>
      </c>
      <c r="N136" s="111"/>
      <c r="O136" s="111"/>
      <c r="P136" s="56">
        <f t="shared" si="36"/>
        <v>200340</v>
      </c>
      <c r="Q136" s="111">
        <v>19820</v>
      </c>
      <c r="R136" s="306">
        <f t="shared" si="37"/>
        <v>220160</v>
      </c>
      <c r="S136" s="307"/>
    </row>
    <row r="137" spans="2:19" s="73" customFormat="1" ht="15.75" customHeight="1">
      <c r="B137" s="39"/>
      <c r="C137" s="44"/>
      <c r="D137" s="44">
        <v>4280</v>
      </c>
      <c r="E137" s="45" t="s">
        <v>54</v>
      </c>
      <c r="F137" s="66">
        <v>4300</v>
      </c>
      <c r="G137" s="111"/>
      <c r="H137" s="111"/>
      <c r="I137" s="111"/>
      <c r="J137" s="111"/>
      <c r="K137" s="150">
        <v>-300</v>
      </c>
      <c r="L137" s="111"/>
      <c r="M137" s="111"/>
      <c r="N137" s="111"/>
      <c r="O137" s="150"/>
      <c r="P137" s="56">
        <f t="shared" si="36"/>
        <v>4000</v>
      </c>
      <c r="Q137" s="150">
        <v>-1000</v>
      </c>
      <c r="R137" s="306">
        <f t="shared" si="37"/>
        <v>3000</v>
      </c>
      <c r="S137" s="307"/>
    </row>
    <row r="138" spans="2:19" s="73" customFormat="1" ht="17.25" customHeight="1">
      <c r="B138" s="39"/>
      <c r="C138" s="44"/>
      <c r="D138" s="44">
        <v>4300</v>
      </c>
      <c r="E138" s="45" t="s">
        <v>31</v>
      </c>
      <c r="F138" s="66">
        <v>37000</v>
      </c>
      <c r="G138" s="150">
        <v>-4500</v>
      </c>
      <c r="H138" s="111"/>
      <c r="I138" s="111"/>
      <c r="J138" s="111">
        <v>7100</v>
      </c>
      <c r="K138" s="111"/>
      <c r="L138" s="111"/>
      <c r="M138" s="111">
        <v>3000</v>
      </c>
      <c r="N138" s="111"/>
      <c r="O138" s="111"/>
      <c r="P138" s="56">
        <f t="shared" si="36"/>
        <v>42600</v>
      </c>
      <c r="Q138" s="111">
        <v>5000</v>
      </c>
      <c r="R138" s="306">
        <f t="shared" si="37"/>
        <v>47600</v>
      </c>
      <c r="S138" s="307"/>
    </row>
    <row r="139" spans="2:19" s="73" customFormat="1" ht="12.75">
      <c r="B139" s="39"/>
      <c r="C139" s="44"/>
      <c r="D139" s="44">
        <v>4350</v>
      </c>
      <c r="E139" s="45" t="s">
        <v>55</v>
      </c>
      <c r="F139" s="66">
        <v>5900</v>
      </c>
      <c r="G139" s="111"/>
      <c r="H139" s="111"/>
      <c r="I139" s="111"/>
      <c r="J139" s="150">
        <v>-2200</v>
      </c>
      <c r="K139" s="111"/>
      <c r="L139" s="111"/>
      <c r="M139" s="111"/>
      <c r="N139" s="111"/>
      <c r="O139" s="150"/>
      <c r="P139" s="56">
        <f t="shared" si="36"/>
        <v>3700</v>
      </c>
      <c r="Q139" s="150">
        <v>-500</v>
      </c>
      <c r="R139" s="306">
        <f t="shared" si="37"/>
        <v>3200</v>
      </c>
      <c r="S139" s="307"/>
    </row>
    <row r="140" spans="2:19" s="73" customFormat="1" ht="38.25">
      <c r="B140" s="39"/>
      <c r="C140" s="44"/>
      <c r="D140" s="44">
        <v>4360</v>
      </c>
      <c r="E140" s="45" t="s">
        <v>56</v>
      </c>
      <c r="F140" s="66"/>
      <c r="G140" s="111"/>
      <c r="H140" s="111"/>
      <c r="I140" s="111"/>
      <c r="J140" s="111">
        <v>1200</v>
      </c>
      <c r="K140" s="111"/>
      <c r="L140" s="111"/>
      <c r="M140" s="111">
        <v>1200</v>
      </c>
      <c r="N140" s="111"/>
      <c r="O140" s="150"/>
      <c r="P140" s="56">
        <f t="shared" si="36"/>
        <v>2400</v>
      </c>
      <c r="Q140" s="150">
        <v>-150</v>
      </c>
      <c r="R140" s="306">
        <f t="shared" si="37"/>
        <v>2250</v>
      </c>
      <c r="S140" s="307"/>
    </row>
    <row r="141" spans="2:19" s="73" customFormat="1" ht="38.25">
      <c r="B141" s="39"/>
      <c r="C141" s="44"/>
      <c r="D141" s="44">
        <v>4370</v>
      </c>
      <c r="E141" s="45" t="s">
        <v>57</v>
      </c>
      <c r="F141" s="66">
        <v>9200</v>
      </c>
      <c r="G141" s="111"/>
      <c r="H141" s="111"/>
      <c r="I141" s="111"/>
      <c r="J141" s="111"/>
      <c r="K141" s="111"/>
      <c r="L141" s="111"/>
      <c r="M141" s="111"/>
      <c r="N141" s="111"/>
      <c r="O141" s="150"/>
      <c r="P141" s="56">
        <f t="shared" si="36"/>
        <v>9200</v>
      </c>
      <c r="Q141" s="150">
        <v>-400</v>
      </c>
      <c r="R141" s="306">
        <f t="shared" si="37"/>
        <v>8800</v>
      </c>
      <c r="S141" s="307"/>
    </row>
    <row r="142" spans="2:19" s="73" customFormat="1" ht="12.75">
      <c r="B142" s="39"/>
      <c r="C142" s="44"/>
      <c r="D142" s="44">
        <v>4410</v>
      </c>
      <c r="E142" s="45" t="s">
        <v>50</v>
      </c>
      <c r="F142" s="66">
        <v>5400</v>
      </c>
      <c r="G142" s="111"/>
      <c r="H142" s="111"/>
      <c r="I142" s="111"/>
      <c r="J142" s="150">
        <v>-200</v>
      </c>
      <c r="K142" s="111"/>
      <c r="L142" s="111"/>
      <c r="M142" s="150">
        <v>-1000</v>
      </c>
      <c r="N142" s="150"/>
      <c r="O142" s="111"/>
      <c r="P142" s="56">
        <f t="shared" si="36"/>
        <v>4200</v>
      </c>
      <c r="Q142" s="111">
        <v>1000</v>
      </c>
      <c r="R142" s="306">
        <f t="shared" si="37"/>
        <v>5200</v>
      </c>
      <c r="S142" s="307"/>
    </row>
    <row r="143" spans="2:19" s="73" customFormat="1" ht="12.75">
      <c r="B143" s="39"/>
      <c r="C143" s="44"/>
      <c r="D143" s="44">
        <v>4430</v>
      </c>
      <c r="E143" s="45" t="s">
        <v>184</v>
      </c>
      <c r="F143" s="66">
        <v>3500</v>
      </c>
      <c r="G143" s="111"/>
      <c r="H143" s="111"/>
      <c r="I143" s="111"/>
      <c r="J143" s="150">
        <v>-1000</v>
      </c>
      <c r="K143" s="111"/>
      <c r="L143" s="111"/>
      <c r="M143" s="111"/>
      <c r="N143" s="111"/>
      <c r="O143" s="150"/>
      <c r="P143" s="56">
        <f t="shared" si="36"/>
        <v>2500</v>
      </c>
      <c r="Q143" s="150">
        <v>-1120</v>
      </c>
      <c r="R143" s="306">
        <f t="shared" si="37"/>
        <v>1380</v>
      </c>
      <c r="S143" s="307"/>
    </row>
    <row r="144" spans="2:19" s="73" customFormat="1" ht="25.5">
      <c r="B144" s="39"/>
      <c r="C144" s="44"/>
      <c r="D144" s="44">
        <v>4440</v>
      </c>
      <c r="E144" s="45" t="s">
        <v>58</v>
      </c>
      <c r="F144" s="66">
        <v>97490</v>
      </c>
      <c r="G144" s="111"/>
      <c r="H144" s="111"/>
      <c r="I144" s="111"/>
      <c r="J144" s="111"/>
      <c r="K144" s="111"/>
      <c r="L144" s="111"/>
      <c r="M144" s="111"/>
      <c r="N144" s="111"/>
      <c r="O144" s="150"/>
      <c r="P144" s="56">
        <f t="shared" si="36"/>
        <v>97490</v>
      </c>
      <c r="Q144" s="150">
        <v>-590</v>
      </c>
      <c r="R144" s="306">
        <f t="shared" si="37"/>
        <v>96900</v>
      </c>
      <c r="S144" s="307"/>
    </row>
    <row r="145" spans="2:19" s="73" customFormat="1" ht="38.25">
      <c r="B145" s="39"/>
      <c r="C145" s="44"/>
      <c r="D145" s="44">
        <v>4740</v>
      </c>
      <c r="E145" s="45" t="s">
        <v>59</v>
      </c>
      <c r="F145" s="66">
        <v>16000</v>
      </c>
      <c r="G145" s="111"/>
      <c r="H145" s="111"/>
      <c r="I145" s="111"/>
      <c r="J145" s="150">
        <v>-15100</v>
      </c>
      <c r="K145" s="111">
        <v>594</v>
      </c>
      <c r="L145" s="111"/>
      <c r="M145" s="111">
        <v>1000</v>
      </c>
      <c r="N145" s="111"/>
      <c r="O145" s="150"/>
      <c r="P145" s="56">
        <f t="shared" si="36"/>
        <v>2494</v>
      </c>
      <c r="Q145" s="150">
        <v>-600</v>
      </c>
      <c r="R145" s="306">
        <f t="shared" si="37"/>
        <v>1894</v>
      </c>
      <c r="S145" s="307"/>
    </row>
    <row r="146" spans="2:19" s="73" customFormat="1" ht="25.5">
      <c r="B146" s="39"/>
      <c r="C146" s="44"/>
      <c r="D146" s="44">
        <v>6060</v>
      </c>
      <c r="E146" s="45" t="s">
        <v>45</v>
      </c>
      <c r="F146" s="66"/>
      <c r="G146" s="111"/>
      <c r="H146" s="111"/>
      <c r="I146" s="111"/>
      <c r="J146" s="111">
        <v>6427</v>
      </c>
      <c r="K146" s="150">
        <v>-94</v>
      </c>
      <c r="L146" s="111"/>
      <c r="M146" s="111">
        <v>8000</v>
      </c>
      <c r="N146" s="111"/>
      <c r="O146" s="111"/>
      <c r="P146" s="56">
        <f t="shared" si="36"/>
        <v>14333</v>
      </c>
      <c r="Q146" s="111">
        <v>2000</v>
      </c>
      <c r="R146" s="306">
        <f t="shared" si="37"/>
        <v>16333</v>
      </c>
      <c r="S146" s="307"/>
    </row>
    <row r="147" spans="2:19" s="73" customFormat="1" ht="25.5">
      <c r="B147" s="39"/>
      <c r="C147" s="27">
        <v>80103</v>
      </c>
      <c r="D147" s="27"/>
      <c r="E147" s="30" t="s">
        <v>185</v>
      </c>
      <c r="F147" s="83">
        <f>SUM(F148:F162)</f>
        <v>297850</v>
      </c>
      <c r="G147" s="84">
        <f aca="true" t="shared" si="38" ref="G147:L147">SUM(G148:G162)</f>
        <v>0</v>
      </c>
      <c r="H147" s="84">
        <f t="shared" si="38"/>
        <v>0</v>
      </c>
      <c r="I147" s="84">
        <f t="shared" si="38"/>
        <v>0</v>
      </c>
      <c r="J147" s="84">
        <f t="shared" si="38"/>
        <v>0</v>
      </c>
      <c r="K147" s="84">
        <f t="shared" si="38"/>
        <v>70000</v>
      </c>
      <c r="L147" s="84">
        <f t="shared" si="38"/>
        <v>0</v>
      </c>
      <c r="M147" s="84">
        <f>SUM(M148:M162)</f>
        <v>0</v>
      </c>
      <c r="N147" s="84">
        <f>SUM(N148:N162)</f>
        <v>0</v>
      </c>
      <c r="O147" s="308"/>
      <c r="P147" s="58">
        <f>SUM(P148:P162)</f>
        <v>367850</v>
      </c>
      <c r="Q147" s="308">
        <f>SUM(Q148:Q162)</f>
        <v>-21566</v>
      </c>
      <c r="R147" s="149">
        <f>SUM(R148:R162)</f>
        <v>346284</v>
      </c>
      <c r="S147" s="305"/>
    </row>
    <row r="148" spans="2:19" s="73" customFormat="1" ht="29.25" customHeight="1">
      <c r="B148" s="39"/>
      <c r="C148" s="44"/>
      <c r="D148" s="44">
        <v>3020</v>
      </c>
      <c r="E148" s="45" t="s">
        <v>51</v>
      </c>
      <c r="F148" s="66">
        <v>10900</v>
      </c>
      <c r="G148" s="111"/>
      <c r="H148" s="111"/>
      <c r="I148" s="111"/>
      <c r="J148" s="111"/>
      <c r="K148" s="111"/>
      <c r="L148" s="111"/>
      <c r="M148" s="111"/>
      <c r="N148" s="111"/>
      <c r="O148" s="150"/>
      <c r="P148" s="56">
        <f aca="true" t="shared" si="39" ref="P148:P162">F148+G148+H148+I148+J148+K148+L148+M148+N148+O148</f>
        <v>10900</v>
      </c>
      <c r="Q148" s="150">
        <v>-1000</v>
      </c>
      <c r="R148" s="306">
        <f t="shared" si="37"/>
        <v>9900</v>
      </c>
      <c r="S148" s="307"/>
    </row>
    <row r="149" spans="2:19" s="73" customFormat="1" ht="12.75">
      <c r="B149" s="39"/>
      <c r="C149" s="44"/>
      <c r="D149" s="44">
        <v>4010</v>
      </c>
      <c r="E149" s="45" t="s">
        <v>47</v>
      </c>
      <c r="F149" s="66">
        <v>187600</v>
      </c>
      <c r="G149" s="111"/>
      <c r="H149" s="111"/>
      <c r="I149" s="111"/>
      <c r="J149" s="111">
        <v>1290</v>
      </c>
      <c r="K149" s="111">
        <v>70000</v>
      </c>
      <c r="L149" s="111"/>
      <c r="M149" s="150">
        <v>-6000</v>
      </c>
      <c r="N149" s="150"/>
      <c r="O149" s="150"/>
      <c r="P149" s="56">
        <f t="shared" si="39"/>
        <v>252890</v>
      </c>
      <c r="Q149" s="150">
        <v>-20000</v>
      </c>
      <c r="R149" s="306">
        <f t="shared" si="37"/>
        <v>232890</v>
      </c>
      <c r="S149" s="307"/>
    </row>
    <row r="150" spans="2:19" s="73" customFormat="1" ht="12.75">
      <c r="B150" s="39"/>
      <c r="C150" s="44"/>
      <c r="D150" s="44">
        <v>4040</v>
      </c>
      <c r="E150" s="45" t="s">
        <v>52</v>
      </c>
      <c r="F150" s="66">
        <v>14750</v>
      </c>
      <c r="G150" s="111"/>
      <c r="H150" s="111"/>
      <c r="I150" s="111"/>
      <c r="J150" s="111">
        <v>1050</v>
      </c>
      <c r="K150" s="111"/>
      <c r="L150" s="111"/>
      <c r="M150" s="111"/>
      <c r="N150" s="111"/>
      <c r="O150" s="111"/>
      <c r="P150" s="56">
        <f t="shared" si="39"/>
        <v>15800</v>
      </c>
      <c r="Q150" s="111"/>
      <c r="R150" s="306">
        <f t="shared" si="37"/>
        <v>15800</v>
      </c>
      <c r="S150" s="307"/>
    </row>
    <row r="151" spans="2:19" s="73" customFormat="1" ht="12.75">
      <c r="B151" s="39"/>
      <c r="C151" s="44"/>
      <c r="D151" s="44">
        <v>4110</v>
      </c>
      <c r="E151" s="45" t="s">
        <v>48</v>
      </c>
      <c r="F151" s="66">
        <v>41050</v>
      </c>
      <c r="G151" s="111"/>
      <c r="H151" s="111"/>
      <c r="I151" s="111"/>
      <c r="J151" s="111"/>
      <c r="K151" s="111"/>
      <c r="L151" s="111"/>
      <c r="M151" s="111">
        <v>4000</v>
      </c>
      <c r="N151" s="111"/>
      <c r="O151" s="150"/>
      <c r="P151" s="56">
        <f t="shared" si="39"/>
        <v>45050</v>
      </c>
      <c r="Q151" s="150">
        <v>-1000</v>
      </c>
      <c r="R151" s="306">
        <f t="shared" si="37"/>
        <v>44050</v>
      </c>
      <c r="S151" s="307"/>
    </row>
    <row r="152" spans="2:19" s="73" customFormat="1" ht="12.75">
      <c r="B152" s="39"/>
      <c r="C152" s="44"/>
      <c r="D152" s="44">
        <v>4120</v>
      </c>
      <c r="E152" s="45" t="s">
        <v>180</v>
      </c>
      <c r="F152" s="66">
        <v>4550</v>
      </c>
      <c r="G152" s="111"/>
      <c r="H152" s="111"/>
      <c r="I152" s="111"/>
      <c r="J152" s="111"/>
      <c r="K152" s="111"/>
      <c r="L152" s="111"/>
      <c r="M152" s="111">
        <v>2000</v>
      </c>
      <c r="N152" s="111"/>
      <c r="O152" s="150"/>
      <c r="P152" s="56">
        <f t="shared" si="39"/>
        <v>6550</v>
      </c>
      <c r="Q152" s="150">
        <v>-400</v>
      </c>
      <c r="R152" s="306">
        <f t="shared" si="37"/>
        <v>6150</v>
      </c>
      <c r="S152" s="307"/>
    </row>
    <row r="153" spans="2:19" s="73" customFormat="1" ht="12.75">
      <c r="B153" s="39"/>
      <c r="C153" s="44"/>
      <c r="D153" s="44">
        <v>4210</v>
      </c>
      <c r="E153" s="45" t="s">
        <v>29</v>
      </c>
      <c r="F153" s="66">
        <v>4400</v>
      </c>
      <c r="G153" s="111"/>
      <c r="H153" s="111"/>
      <c r="I153" s="111"/>
      <c r="J153" s="111">
        <v>3260</v>
      </c>
      <c r="K153" s="111"/>
      <c r="L153" s="111"/>
      <c r="M153" s="111"/>
      <c r="N153" s="111"/>
      <c r="O153" s="111"/>
      <c r="P153" s="56">
        <f t="shared" si="39"/>
        <v>7660</v>
      </c>
      <c r="Q153" s="111"/>
      <c r="R153" s="306">
        <f t="shared" si="37"/>
        <v>7660</v>
      </c>
      <c r="S153" s="307"/>
    </row>
    <row r="154" spans="2:19" s="73" customFormat="1" ht="12.75">
      <c r="B154" s="39"/>
      <c r="C154" s="44"/>
      <c r="D154" s="44">
        <v>4240</v>
      </c>
      <c r="E154" s="45" t="s">
        <v>183</v>
      </c>
      <c r="F154" s="66">
        <v>2600</v>
      </c>
      <c r="G154" s="111"/>
      <c r="H154" s="111"/>
      <c r="I154" s="111"/>
      <c r="J154" s="111"/>
      <c r="K154" s="111"/>
      <c r="L154" s="111"/>
      <c r="M154" s="111"/>
      <c r="N154" s="111"/>
      <c r="O154" s="150"/>
      <c r="P154" s="56">
        <f t="shared" si="39"/>
        <v>2600</v>
      </c>
      <c r="Q154" s="150">
        <v>-1000</v>
      </c>
      <c r="R154" s="306">
        <f t="shared" si="37"/>
        <v>1600</v>
      </c>
      <c r="S154" s="307"/>
    </row>
    <row r="155" spans="2:19" s="73" customFormat="1" ht="12.75">
      <c r="B155" s="39"/>
      <c r="C155" s="44"/>
      <c r="D155" s="44">
        <v>4260</v>
      </c>
      <c r="E155" s="45" t="s">
        <v>49</v>
      </c>
      <c r="F155" s="66">
        <v>7000</v>
      </c>
      <c r="G155" s="111"/>
      <c r="H155" s="111"/>
      <c r="I155" s="111"/>
      <c r="J155" s="111"/>
      <c r="K155" s="111"/>
      <c r="L155" s="111"/>
      <c r="M155" s="111"/>
      <c r="N155" s="111"/>
      <c r="O155" s="111"/>
      <c r="P155" s="56">
        <f t="shared" si="39"/>
        <v>7000</v>
      </c>
      <c r="Q155" s="111"/>
      <c r="R155" s="306">
        <f t="shared" si="37"/>
        <v>7000</v>
      </c>
      <c r="S155" s="307"/>
    </row>
    <row r="156" spans="2:19" s="73" customFormat="1" ht="12.75">
      <c r="B156" s="39"/>
      <c r="C156" s="44"/>
      <c r="D156" s="44">
        <v>4270</v>
      </c>
      <c r="E156" s="45" t="s">
        <v>30</v>
      </c>
      <c r="F156" s="66">
        <v>2000</v>
      </c>
      <c r="G156" s="111"/>
      <c r="H156" s="111"/>
      <c r="I156" s="111"/>
      <c r="J156" s="150">
        <v>-1500</v>
      </c>
      <c r="K156" s="111"/>
      <c r="L156" s="111"/>
      <c r="M156" s="150">
        <v>-200</v>
      </c>
      <c r="N156" s="150"/>
      <c r="O156" s="150"/>
      <c r="P156" s="56">
        <f t="shared" si="39"/>
        <v>300</v>
      </c>
      <c r="Q156" s="150">
        <v>-200</v>
      </c>
      <c r="R156" s="306">
        <f t="shared" si="37"/>
        <v>100</v>
      </c>
      <c r="S156" s="307"/>
    </row>
    <row r="157" spans="2:19" s="73" customFormat="1" ht="16.5" customHeight="1">
      <c r="B157" s="39"/>
      <c r="C157" s="44"/>
      <c r="D157" s="44">
        <v>4280</v>
      </c>
      <c r="E157" s="45" t="s">
        <v>54</v>
      </c>
      <c r="F157" s="66">
        <v>700</v>
      </c>
      <c r="G157" s="111"/>
      <c r="H157" s="111"/>
      <c r="I157" s="111"/>
      <c r="J157" s="111"/>
      <c r="K157" s="111"/>
      <c r="L157" s="111"/>
      <c r="M157" s="111"/>
      <c r="N157" s="111"/>
      <c r="O157" s="150"/>
      <c r="P157" s="56">
        <f t="shared" si="39"/>
        <v>700</v>
      </c>
      <c r="Q157" s="150">
        <v>-500</v>
      </c>
      <c r="R157" s="306">
        <f t="shared" si="37"/>
        <v>200</v>
      </c>
      <c r="S157" s="307"/>
    </row>
    <row r="158" spans="2:19" s="73" customFormat="1" ht="12.75">
      <c r="B158" s="39"/>
      <c r="C158" s="44"/>
      <c r="D158" s="44">
        <v>4300</v>
      </c>
      <c r="E158" s="45" t="s">
        <v>31</v>
      </c>
      <c r="F158" s="66">
        <v>2800</v>
      </c>
      <c r="G158" s="111"/>
      <c r="H158" s="111"/>
      <c r="I158" s="111"/>
      <c r="J158" s="111"/>
      <c r="K158" s="111"/>
      <c r="L158" s="111"/>
      <c r="M158" s="111"/>
      <c r="N158" s="111"/>
      <c r="O158" s="111"/>
      <c r="P158" s="56">
        <f t="shared" si="39"/>
        <v>2800</v>
      </c>
      <c r="Q158" s="111">
        <v>200</v>
      </c>
      <c r="R158" s="306">
        <f t="shared" si="37"/>
        <v>3000</v>
      </c>
      <c r="S158" s="307"/>
    </row>
    <row r="159" spans="2:19" s="73" customFormat="1" ht="38.25">
      <c r="B159" s="39"/>
      <c r="C159" s="44"/>
      <c r="D159" s="44">
        <v>4370</v>
      </c>
      <c r="E159" s="45" t="s">
        <v>57</v>
      </c>
      <c r="F159" s="66">
        <v>1000</v>
      </c>
      <c r="G159" s="111"/>
      <c r="H159" s="111"/>
      <c r="I159" s="111"/>
      <c r="J159" s="111"/>
      <c r="K159" s="111"/>
      <c r="L159" s="111"/>
      <c r="M159" s="111"/>
      <c r="N159" s="111"/>
      <c r="O159" s="111"/>
      <c r="P159" s="56">
        <f t="shared" si="39"/>
        <v>1000</v>
      </c>
      <c r="Q159" s="111">
        <v>100</v>
      </c>
      <c r="R159" s="306">
        <f t="shared" si="37"/>
        <v>1100</v>
      </c>
      <c r="S159" s="307"/>
    </row>
    <row r="160" spans="2:19" s="73" customFormat="1" ht="12.75">
      <c r="B160" s="39"/>
      <c r="C160" s="44"/>
      <c r="D160" s="44">
        <v>4410</v>
      </c>
      <c r="E160" s="45" t="s">
        <v>50</v>
      </c>
      <c r="F160" s="66">
        <v>1000</v>
      </c>
      <c r="G160" s="111"/>
      <c r="H160" s="111"/>
      <c r="I160" s="111"/>
      <c r="J160" s="111"/>
      <c r="K160" s="111"/>
      <c r="L160" s="111"/>
      <c r="M160" s="111">
        <v>200</v>
      </c>
      <c r="N160" s="111"/>
      <c r="O160" s="111"/>
      <c r="P160" s="56">
        <f t="shared" si="39"/>
        <v>1200</v>
      </c>
      <c r="Q160" s="111">
        <v>200</v>
      </c>
      <c r="R160" s="306">
        <f t="shared" si="37"/>
        <v>1400</v>
      </c>
      <c r="S160" s="307"/>
    </row>
    <row r="161" spans="2:19" s="73" customFormat="1" ht="25.5">
      <c r="B161" s="39"/>
      <c r="C161" s="44"/>
      <c r="D161" s="44">
        <v>4440</v>
      </c>
      <c r="E161" s="45" t="s">
        <v>58</v>
      </c>
      <c r="F161" s="66">
        <v>12900</v>
      </c>
      <c r="G161" s="111"/>
      <c r="H161" s="111"/>
      <c r="I161" s="111"/>
      <c r="J161" s="111"/>
      <c r="K161" s="111"/>
      <c r="L161" s="111"/>
      <c r="M161" s="111"/>
      <c r="N161" s="111"/>
      <c r="O161" s="111"/>
      <c r="P161" s="56">
        <f t="shared" si="39"/>
        <v>12900</v>
      </c>
      <c r="Q161" s="111">
        <v>2234</v>
      </c>
      <c r="R161" s="306">
        <f t="shared" si="37"/>
        <v>15134</v>
      </c>
      <c r="S161" s="307"/>
    </row>
    <row r="162" spans="2:19" s="73" customFormat="1" ht="38.25">
      <c r="B162" s="39"/>
      <c r="C162" s="44"/>
      <c r="D162" s="44">
        <v>4740</v>
      </c>
      <c r="E162" s="45" t="s">
        <v>59</v>
      </c>
      <c r="F162" s="66">
        <v>4600</v>
      </c>
      <c r="G162" s="111"/>
      <c r="H162" s="111"/>
      <c r="I162" s="111"/>
      <c r="J162" s="150">
        <v>-4100</v>
      </c>
      <c r="K162" s="111"/>
      <c r="L162" s="111"/>
      <c r="M162" s="111"/>
      <c r="N162" s="111"/>
      <c r="O162" s="150"/>
      <c r="P162" s="56">
        <f t="shared" si="39"/>
        <v>500</v>
      </c>
      <c r="Q162" s="150">
        <v>-200</v>
      </c>
      <c r="R162" s="306">
        <f t="shared" si="37"/>
        <v>300</v>
      </c>
      <c r="S162" s="307"/>
    </row>
    <row r="163" spans="2:19" s="73" customFormat="1" ht="12.75">
      <c r="B163" s="39"/>
      <c r="C163" s="27">
        <v>80104</v>
      </c>
      <c r="D163" s="27"/>
      <c r="E163" s="30" t="s">
        <v>19</v>
      </c>
      <c r="F163" s="83">
        <f>SUM(F164:F184)</f>
        <v>848680</v>
      </c>
      <c r="G163" s="84">
        <f aca="true" t="shared" si="40" ref="G163:L163">SUM(G164:G184)</f>
        <v>0</v>
      </c>
      <c r="H163" s="84">
        <f t="shared" si="40"/>
        <v>0</v>
      </c>
      <c r="I163" s="84">
        <f t="shared" si="40"/>
        <v>0</v>
      </c>
      <c r="J163" s="84">
        <f>SUM(J164:J185)</f>
        <v>25000</v>
      </c>
      <c r="K163" s="308">
        <f t="shared" si="40"/>
        <v>-10000</v>
      </c>
      <c r="L163" s="84">
        <f t="shared" si="40"/>
        <v>0</v>
      </c>
      <c r="M163" s="84">
        <f>SUM(M164:M185)</f>
        <v>68100</v>
      </c>
      <c r="N163" s="84">
        <f>SUM(N164:N185)</f>
        <v>0</v>
      </c>
      <c r="O163" s="84"/>
      <c r="P163" s="58">
        <f>SUM(P164:P185)</f>
        <v>931780</v>
      </c>
      <c r="Q163" s="84">
        <f>SUM(Q164:Q185)</f>
        <v>30720</v>
      </c>
      <c r="R163" s="149">
        <f>SUM(R164:R185)</f>
        <v>962500</v>
      </c>
      <c r="S163" s="305"/>
    </row>
    <row r="164" spans="2:19" s="73" customFormat="1" ht="12.75">
      <c r="B164" s="46"/>
      <c r="C164" s="44"/>
      <c r="D164" s="44">
        <v>2540</v>
      </c>
      <c r="E164" s="45" t="s">
        <v>186</v>
      </c>
      <c r="F164" s="66">
        <v>143000</v>
      </c>
      <c r="G164" s="111"/>
      <c r="H164" s="111"/>
      <c r="I164" s="111"/>
      <c r="J164" s="111"/>
      <c r="K164" s="111"/>
      <c r="L164" s="111"/>
      <c r="M164" s="111">
        <v>54000</v>
      </c>
      <c r="N164" s="111"/>
      <c r="O164" s="150"/>
      <c r="P164" s="56">
        <f aca="true" t="shared" si="41" ref="P164:P185">F164+G164+H164+I164+J164+K164+L164+M164+N164+O164</f>
        <v>197000</v>
      </c>
      <c r="Q164" s="150">
        <v>-5000</v>
      </c>
      <c r="R164" s="306">
        <f t="shared" si="37"/>
        <v>192000</v>
      </c>
      <c r="S164" s="307"/>
    </row>
    <row r="165" spans="2:19" s="73" customFormat="1" ht="25.5">
      <c r="B165" s="39"/>
      <c r="C165" s="44"/>
      <c r="D165" s="44">
        <v>3020</v>
      </c>
      <c r="E165" s="45" t="s">
        <v>51</v>
      </c>
      <c r="F165" s="66">
        <v>20000</v>
      </c>
      <c r="G165" s="111"/>
      <c r="H165" s="111"/>
      <c r="I165" s="111"/>
      <c r="J165" s="111"/>
      <c r="K165" s="111"/>
      <c r="L165" s="111"/>
      <c r="M165" s="111">
        <v>3000</v>
      </c>
      <c r="N165" s="111"/>
      <c r="O165" s="150"/>
      <c r="P165" s="56">
        <f t="shared" si="41"/>
        <v>23000</v>
      </c>
      <c r="Q165" s="150">
        <v>-500</v>
      </c>
      <c r="R165" s="306">
        <f t="shared" si="37"/>
        <v>22500</v>
      </c>
      <c r="S165" s="307"/>
    </row>
    <row r="166" spans="2:19" s="73" customFormat="1" ht="12.75">
      <c r="B166" s="39"/>
      <c r="C166" s="44"/>
      <c r="D166" s="44">
        <v>4010</v>
      </c>
      <c r="E166" s="45" t="s">
        <v>47</v>
      </c>
      <c r="F166" s="66">
        <v>443000</v>
      </c>
      <c r="G166" s="111"/>
      <c r="H166" s="111"/>
      <c r="I166" s="111"/>
      <c r="J166" s="111">
        <v>2004</v>
      </c>
      <c r="K166" s="111"/>
      <c r="L166" s="111"/>
      <c r="M166" s="150">
        <v>-3000</v>
      </c>
      <c r="N166" s="150"/>
      <c r="O166" s="111"/>
      <c r="P166" s="56">
        <f t="shared" si="41"/>
        <v>442004</v>
      </c>
      <c r="Q166" s="111">
        <v>25000</v>
      </c>
      <c r="R166" s="306">
        <f t="shared" si="37"/>
        <v>467004</v>
      </c>
      <c r="S166" s="315" t="s">
        <v>303</v>
      </c>
    </row>
    <row r="167" spans="2:19" s="73" customFormat="1" ht="12.75">
      <c r="B167" s="39"/>
      <c r="C167" s="44"/>
      <c r="D167" s="44">
        <v>4040</v>
      </c>
      <c r="E167" s="45" t="s">
        <v>52</v>
      </c>
      <c r="F167" s="66">
        <v>30600</v>
      </c>
      <c r="G167" s="111"/>
      <c r="H167" s="111"/>
      <c r="I167" s="111"/>
      <c r="J167" s="150">
        <v>-404</v>
      </c>
      <c r="K167" s="111"/>
      <c r="L167" s="111"/>
      <c r="M167" s="111"/>
      <c r="N167" s="111"/>
      <c r="O167" s="111"/>
      <c r="P167" s="56">
        <f t="shared" si="41"/>
        <v>30196</v>
      </c>
      <c r="Q167" s="111"/>
      <c r="R167" s="306">
        <f t="shared" si="37"/>
        <v>30196</v>
      </c>
      <c r="S167" s="307"/>
    </row>
    <row r="168" spans="2:19" s="73" customFormat="1" ht="12.75">
      <c r="B168" s="39"/>
      <c r="C168" s="44"/>
      <c r="D168" s="44">
        <v>4110</v>
      </c>
      <c r="E168" s="45" t="s">
        <v>48</v>
      </c>
      <c r="F168" s="66">
        <v>86900</v>
      </c>
      <c r="G168" s="111"/>
      <c r="H168" s="111"/>
      <c r="I168" s="111"/>
      <c r="J168" s="111"/>
      <c r="K168" s="111"/>
      <c r="L168" s="111"/>
      <c r="M168" s="111"/>
      <c r="N168" s="111"/>
      <c r="O168" s="150"/>
      <c r="P168" s="56">
        <f t="shared" si="41"/>
        <v>86900</v>
      </c>
      <c r="Q168" s="150">
        <v>-3000</v>
      </c>
      <c r="R168" s="306">
        <f t="shared" si="37"/>
        <v>83900</v>
      </c>
      <c r="S168" s="307"/>
    </row>
    <row r="169" spans="2:19" s="73" customFormat="1" ht="12.75">
      <c r="B169" s="39"/>
      <c r="C169" s="44"/>
      <c r="D169" s="44">
        <v>4120</v>
      </c>
      <c r="E169" s="45" t="s">
        <v>180</v>
      </c>
      <c r="F169" s="66">
        <v>12000</v>
      </c>
      <c r="G169" s="111"/>
      <c r="H169" s="111"/>
      <c r="I169" s="111"/>
      <c r="J169" s="111"/>
      <c r="K169" s="111"/>
      <c r="L169" s="111"/>
      <c r="M169" s="111"/>
      <c r="N169" s="111"/>
      <c r="O169" s="111"/>
      <c r="P169" s="56">
        <f t="shared" si="41"/>
        <v>12000</v>
      </c>
      <c r="Q169" s="111">
        <v>300</v>
      </c>
      <c r="R169" s="306">
        <f t="shared" si="37"/>
        <v>12300</v>
      </c>
      <c r="S169" s="307"/>
    </row>
    <row r="170" spans="2:19" s="73" customFormat="1" ht="12.75">
      <c r="B170" s="39"/>
      <c r="C170" s="44"/>
      <c r="D170" s="44">
        <v>4170</v>
      </c>
      <c r="E170" s="45" t="s">
        <v>53</v>
      </c>
      <c r="F170" s="66"/>
      <c r="G170" s="111"/>
      <c r="H170" s="111"/>
      <c r="I170" s="111"/>
      <c r="J170" s="111"/>
      <c r="K170" s="111"/>
      <c r="L170" s="111"/>
      <c r="M170" s="111"/>
      <c r="N170" s="111"/>
      <c r="O170" s="111"/>
      <c r="P170" s="56">
        <f t="shared" si="41"/>
        <v>0</v>
      </c>
      <c r="Q170" s="111">
        <v>8000</v>
      </c>
      <c r="R170" s="306">
        <f t="shared" si="37"/>
        <v>8000</v>
      </c>
      <c r="S170" s="307"/>
    </row>
    <row r="171" spans="2:19" s="73" customFormat="1" ht="12.75">
      <c r="B171" s="39"/>
      <c r="C171" s="44"/>
      <c r="D171" s="44">
        <v>4210</v>
      </c>
      <c r="E171" s="45" t="s">
        <v>29</v>
      </c>
      <c r="F171" s="66">
        <v>10000</v>
      </c>
      <c r="G171" s="111"/>
      <c r="H171" s="111"/>
      <c r="I171" s="111"/>
      <c r="J171" s="111"/>
      <c r="K171" s="111"/>
      <c r="L171" s="111"/>
      <c r="M171" s="111">
        <v>4000</v>
      </c>
      <c r="N171" s="111"/>
      <c r="O171" s="111"/>
      <c r="P171" s="56">
        <f t="shared" si="41"/>
        <v>14000</v>
      </c>
      <c r="Q171" s="111">
        <v>1190</v>
      </c>
      <c r="R171" s="306">
        <f t="shared" si="37"/>
        <v>15190</v>
      </c>
      <c r="S171" s="307"/>
    </row>
    <row r="172" spans="2:19" s="73" customFormat="1" ht="12.75">
      <c r="B172" s="39"/>
      <c r="C172" s="44"/>
      <c r="D172" s="44">
        <v>4240</v>
      </c>
      <c r="E172" s="45" t="s">
        <v>183</v>
      </c>
      <c r="F172" s="66">
        <v>2800</v>
      </c>
      <c r="G172" s="111"/>
      <c r="H172" s="111"/>
      <c r="I172" s="111"/>
      <c r="J172" s="111"/>
      <c r="K172" s="111"/>
      <c r="L172" s="111"/>
      <c r="M172" s="111"/>
      <c r="N172" s="111"/>
      <c r="O172" s="111"/>
      <c r="P172" s="56">
        <f t="shared" si="41"/>
        <v>2800</v>
      </c>
      <c r="Q172" s="111"/>
      <c r="R172" s="306">
        <f t="shared" si="37"/>
        <v>2800</v>
      </c>
      <c r="S172" s="307"/>
    </row>
    <row r="173" spans="2:19" s="73" customFormat="1" ht="12.75">
      <c r="B173" s="39"/>
      <c r="C173" s="44"/>
      <c r="D173" s="44">
        <v>4260</v>
      </c>
      <c r="E173" s="45" t="s">
        <v>49</v>
      </c>
      <c r="F173" s="66">
        <v>35000</v>
      </c>
      <c r="G173" s="111"/>
      <c r="H173" s="111"/>
      <c r="I173" s="111"/>
      <c r="J173" s="111">
        <v>3000</v>
      </c>
      <c r="K173" s="111"/>
      <c r="L173" s="111"/>
      <c r="M173" s="111">
        <v>5000</v>
      </c>
      <c r="N173" s="111"/>
      <c r="O173" s="111"/>
      <c r="P173" s="56">
        <f t="shared" si="41"/>
        <v>43000</v>
      </c>
      <c r="Q173" s="111"/>
      <c r="R173" s="306">
        <f t="shared" si="37"/>
        <v>43000</v>
      </c>
      <c r="S173" s="307"/>
    </row>
    <row r="174" spans="2:19" s="73" customFormat="1" ht="12.75">
      <c r="B174" s="39"/>
      <c r="C174" s="44"/>
      <c r="D174" s="44">
        <v>4270</v>
      </c>
      <c r="E174" s="45" t="s">
        <v>30</v>
      </c>
      <c r="F174" s="66">
        <v>3000</v>
      </c>
      <c r="G174" s="111"/>
      <c r="H174" s="111"/>
      <c r="I174" s="111"/>
      <c r="J174" s="150">
        <v>-2500</v>
      </c>
      <c r="K174" s="111"/>
      <c r="L174" s="111"/>
      <c r="M174" s="111">
        <v>2000</v>
      </c>
      <c r="N174" s="111"/>
      <c r="O174" s="111"/>
      <c r="P174" s="56">
        <f t="shared" si="41"/>
        <v>2500</v>
      </c>
      <c r="Q174" s="111">
        <v>1300</v>
      </c>
      <c r="R174" s="306">
        <f t="shared" si="37"/>
        <v>3800</v>
      </c>
      <c r="S174" s="307"/>
    </row>
    <row r="175" spans="2:19" s="73" customFormat="1" ht="18.75" customHeight="1">
      <c r="B175" s="39"/>
      <c r="C175" s="44"/>
      <c r="D175" s="44">
        <v>4280</v>
      </c>
      <c r="E175" s="45" t="s">
        <v>54</v>
      </c>
      <c r="F175" s="66">
        <v>1200</v>
      </c>
      <c r="G175" s="111"/>
      <c r="H175" s="111"/>
      <c r="I175" s="111"/>
      <c r="J175" s="111"/>
      <c r="K175" s="111"/>
      <c r="L175" s="111"/>
      <c r="M175" s="111"/>
      <c r="N175" s="111"/>
      <c r="O175" s="111"/>
      <c r="P175" s="56">
        <f t="shared" si="41"/>
        <v>1200</v>
      </c>
      <c r="Q175" s="111">
        <v>800</v>
      </c>
      <c r="R175" s="306">
        <f t="shared" si="37"/>
        <v>2000</v>
      </c>
      <c r="S175" s="307"/>
    </row>
    <row r="176" spans="2:19" s="73" customFormat="1" ht="15.75" customHeight="1">
      <c r="B176" s="39"/>
      <c r="C176" s="44"/>
      <c r="D176" s="44">
        <v>4300</v>
      </c>
      <c r="E176" s="45" t="s">
        <v>31</v>
      </c>
      <c r="F176" s="66">
        <v>6500</v>
      </c>
      <c r="G176" s="111"/>
      <c r="H176" s="111"/>
      <c r="I176" s="111"/>
      <c r="J176" s="111"/>
      <c r="K176" s="111"/>
      <c r="L176" s="111"/>
      <c r="M176" s="111"/>
      <c r="N176" s="111"/>
      <c r="O176" s="111"/>
      <c r="P176" s="56">
        <f t="shared" si="41"/>
        <v>6500</v>
      </c>
      <c r="Q176" s="111">
        <v>2000</v>
      </c>
      <c r="R176" s="306">
        <f t="shared" si="37"/>
        <v>8500</v>
      </c>
      <c r="S176" s="307"/>
    </row>
    <row r="177" spans="2:19" s="73" customFormat="1" ht="12.75">
      <c r="B177" s="39"/>
      <c r="C177" s="44"/>
      <c r="D177" s="44">
        <v>4350</v>
      </c>
      <c r="E177" s="45" t="s">
        <v>55</v>
      </c>
      <c r="F177" s="66"/>
      <c r="G177" s="111"/>
      <c r="H177" s="111"/>
      <c r="I177" s="111"/>
      <c r="J177" s="111">
        <v>300</v>
      </c>
      <c r="K177" s="111"/>
      <c r="L177" s="111"/>
      <c r="M177" s="111"/>
      <c r="N177" s="111"/>
      <c r="O177" s="150"/>
      <c r="P177" s="56">
        <f t="shared" si="41"/>
        <v>300</v>
      </c>
      <c r="Q177" s="150">
        <v>-100</v>
      </c>
      <c r="R177" s="306">
        <f t="shared" si="37"/>
        <v>200</v>
      </c>
      <c r="S177" s="307"/>
    </row>
    <row r="178" spans="2:19" s="73" customFormat="1" ht="38.25">
      <c r="B178" s="39"/>
      <c r="C178" s="44"/>
      <c r="D178" s="44">
        <v>4360</v>
      </c>
      <c r="E178" s="45" t="s">
        <v>56</v>
      </c>
      <c r="F178" s="66"/>
      <c r="G178" s="111"/>
      <c r="H178" s="111"/>
      <c r="I178" s="111"/>
      <c r="J178" s="111">
        <v>300</v>
      </c>
      <c r="K178" s="111"/>
      <c r="L178" s="111"/>
      <c r="M178" s="111"/>
      <c r="N178" s="111"/>
      <c r="O178" s="111"/>
      <c r="P178" s="56">
        <f t="shared" si="41"/>
        <v>300</v>
      </c>
      <c r="Q178" s="111"/>
      <c r="R178" s="306">
        <f t="shared" si="37"/>
        <v>300</v>
      </c>
      <c r="S178" s="307"/>
    </row>
    <row r="179" spans="2:19" s="73" customFormat="1" ht="38.25">
      <c r="B179" s="39"/>
      <c r="C179" s="44"/>
      <c r="D179" s="44">
        <v>4370</v>
      </c>
      <c r="E179" s="45" t="s">
        <v>57</v>
      </c>
      <c r="F179" s="66">
        <v>2300</v>
      </c>
      <c r="G179" s="111"/>
      <c r="H179" s="111"/>
      <c r="I179" s="111"/>
      <c r="J179" s="111"/>
      <c r="K179" s="111"/>
      <c r="L179" s="111"/>
      <c r="M179" s="111"/>
      <c r="N179" s="111"/>
      <c r="O179" s="111"/>
      <c r="P179" s="56">
        <f t="shared" si="41"/>
        <v>2300</v>
      </c>
      <c r="Q179" s="111">
        <v>280</v>
      </c>
      <c r="R179" s="306">
        <f t="shared" si="37"/>
        <v>2580</v>
      </c>
      <c r="S179" s="307"/>
    </row>
    <row r="180" spans="2:19" s="73" customFormat="1" ht="12.75">
      <c r="B180" s="39"/>
      <c r="C180" s="44"/>
      <c r="D180" s="44">
        <v>4410</v>
      </c>
      <c r="E180" s="45" t="s">
        <v>50</v>
      </c>
      <c r="F180" s="66">
        <v>2000</v>
      </c>
      <c r="G180" s="111"/>
      <c r="H180" s="111"/>
      <c r="I180" s="111"/>
      <c r="J180" s="150">
        <v>-700</v>
      </c>
      <c r="K180" s="111"/>
      <c r="L180" s="111"/>
      <c r="M180" s="111"/>
      <c r="N180" s="111"/>
      <c r="O180" s="150"/>
      <c r="P180" s="56">
        <f t="shared" si="41"/>
        <v>1300</v>
      </c>
      <c r="Q180" s="150">
        <v>-500</v>
      </c>
      <c r="R180" s="306">
        <f t="shared" si="37"/>
        <v>800</v>
      </c>
      <c r="S180" s="307"/>
    </row>
    <row r="181" spans="2:19" s="73" customFormat="1" ht="12.75">
      <c r="B181" s="39"/>
      <c r="C181" s="44"/>
      <c r="D181" s="44">
        <v>4430</v>
      </c>
      <c r="E181" s="45" t="s">
        <v>184</v>
      </c>
      <c r="F181" s="66">
        <v>500</v>
      </c>
      <c r="G181" s="111"/>
      <c r="H181" s="111"/>
      <c r="I181" s="111"/>
      <c r="J181" s="111"/>
      <c r="K181" s="111"/>
      <c r="L181" s="111"/>
      <c r="M181" s="111"/>
      <c r="N181" s="111"/>
      <c r="O181" s="150"/>
      <c r="P181" s="56">
        <f t="shared" si="41"/>
        <v>500</v>
      </c>
      <c r="Q181" s="150">
        <v>-145</v>
      </c>
      <c r="R181" s="306">
        <f t="shared" si="37"/>
        <v>355</v>
      </c>
      <c r="S181" s="307"/>
    </row>
    <row r="182" spans="2:19" s="73" customFormat="1" ht="25.5">
      <c r="B182" s="39"/>
      <c r="C182" s="44"/>
      <c r="D182" s="44">
        <v>4440</v>
      </c>
      <c r="E182" s="45" t="s">
        <v>58</v>
      </c>
      <c r="F182" s="66">
        <v>28880</v>
      </c>
      <c r="G182" s="111"/>
      <c r="H182" s="111"/>
      <c r="I182" s="111"/>
      <c r="J182" s="111"/>
      <c r="K182" s="111"/>
      <c r="L182" s="111"/>
      <c r="M182" s="111"/>
      <c r="N182" s="111"/>
      <c r="O182" s="111"/>
      <c r="P182" s="56">
        <f t="shared" si="41"/>
        <v>28880</v>
      </c>
      <c r="Q182" s="111">
        <v>580</v>
      </c>
      <c r="R182" s="306">
        <f t="shared" si="37"/>
        <v>29460</v>
      </c>
      <c r="S182" s="307"/>
    </row>
    <row r="183" spans="2:19" s="73" customFormat="1" ht="38.25">
      <c r="B183" s="39"/>
      <c r="C183" s="44"/>
      <c r="D183" s="44">
        <v>4740</v>
      </c>
      <c r="E183" s="45" t="s">
        <v>59</v>
      </c>
      <c r="F183" s="66">
        <v>6000</v>
      </c>
      <c r="G183" s="111"/>
      <c r="H183" s="111"/>
      <c r="I183" s="111"/>
      <c r="J183" s="150">
        <v>-5000</v>
      </c>
      <c r="K183" s="111"/>
      <c r="L183" s="111"/>
      <c r="M183" s="111"/>
      <c r="N183" s="111"/>
      <c r="O183" s="150"/>
      <c r="P183" s="56">
        <f t="shared" si="41"/>
        <v>1000</v>
      </c>
      <c r="Q183" s="150">
        <v>-100</v>
      </c>
      <c r="R183" s="306">
        <f t="shared" si="37"/>
        <v>900</v>
      </c>
      <c r="S183" s="307"/>
    </row>
    <row r="184" spans="2:19" s="73" customFormat="1" ht="25.5">
      <c r="B184" s="39"/>
      <c r="C184" s="44"/>
      <c r="D184" s="44">
        <v>6050</v>
      </c>
      <c r="E184" s="45" t="s">
        <v>34</v>
      </c>
      <c r="F184" s="66">
        <v>15000</v>
      </c>
      <c r="G184" s="111"/>
      <c r="H184" s="111"/>
      <c r="I184" s="111"/>
      <c r="J184" s="111">
        <v>25000</v>
      </c>
      <c r="K184" s="150">
        <v>-10000</v>
      </c>
      <c r="L184" s="111"/>
      <c r="M184" s="111"/>
      <c r="N184" s="111"/>
      <c r="O184" s="111"/>
      <c r="P184" s="56">
        <f t="shared" si="41"/>
        <v>30000</v>
      </c>
      <c r="Q184" s="111">
        <v>615</v>
      </c>
      <c r="R184" s="306">
        <f t="shared" si="37"/>
        <v>30615</v>
      </c>
      <c r="S184" s="307"/>
    </row>
    <row r="185" spans="2:19" s="73" customFormat="1" ht="25.5">
      <c r="B185" s="39"/>
      <c r="C185" s="44"/>
      <c r="D185" s="44">
        <v>6060</v>
      </c>
      <c r="E185" s="45" t="s">
        <v>45</v>
      </c>
      <c r="F185" s="66"/>
      <c r="G185" s="111"/>
      <c r="H185" s="111"/>
      <c r="I185" s="111"/>
      <c r="J185" s="111">
        <v>3000</v>
      </c>
      <c r="K185" s="111"/>
      <c r="L185" s="111"/>
      <c r="M185" s="111">
        <v>3100</v>
      </c>
      <c r="N185" s="111"/>
      <c r="O185" s="111"/>
      <c r="P185" s="56">
        <f t="shared" si="41"/>
        <v>6100</v>
      </c>
      <c r="Q185" s="111"/>
      <c r="R185" s="306">
        <f t="shared" si="37"/>
        <v>6100</v>
      </c>
      <c r="S185" s="307"/>
    </row>
    <row r="186" spans="2:19" s="73" customFormat="1" ht="12.75">
      <c r="B186" s="39"/>
      <c r="C186" s="27">
        <v>80110</v>
      </c>
      <c r="D186" s="27"/>
      <c r="E186" s="30" t="s">
        <v>20</v>
      </c>
      <c r="F186" s="83">
        <f>SUM(F187:F205)</f>
        <v>1618000</v>
      </c>
      <c r="G186" s="84">
        <f aca="true" t="shared" si="42" ref="G186:L186">SUM(G187:G205)</f>
        <v>0</v>
      </c>
      <c r="H186" s="84">
        <f t="shared" si="42"/>
        <v>0</v>
      </c>
      <c r="I186" s="84">
        <f t="shared" si="42"/>
        <v>0</v>
      </c>
      <c r="J186" s="84">
        <f>SUM(J187:J206)</f>
        <v>0</v>
      </c>
      <c r="K186" s="84">
        <f>SUM(K187:K206)</f>
        <v>0</v>
      </c>
      <c r="L186" s="84">
        <f t="shared" si="42"/>
        <v>0</v>
      </c>
      <c r="M186" s="84">
        <f>SUM(M187:M205)</f>
        <v>29671</v>
      </c>
      <c r="N186" s="84">
        <f>SUM(N187:N205)</f>
        <v>0</v>
      </c>
      <c r="O186" s="84"/>
      <c r="P186" s="58">
        <f>SUM(P187:P206)</f>
        <v>1647671</v>
      </c>
      <c r="Q186" s="84">
        <f>SUM(Q187:Q205)</f>
        <v>53335</v>
      </c>
      <c r="R186" s="149">
        <f>SUM(R187:R206)</f>
        <v>1701006</v>
      </c>
      <c r="S186" s="305"/>
    </row>
    <row r="187" spans="2:19" s="73" customFormat="1" ht="25.5">
      <c r="B187" s="39"/>
      <c r="C187" s="27"/>
      <c r="D187" s="44">
        <v>3020</v>
      </c>
      <c r="E187" s="45" t="s">
        <v>51</v>
      </c>
      <c r="F187" s="66">
        <v>68000</v>
      </c>
      <c r="G187" s="111"/>
      <c r="H187" s="111"/>
      <c r="I187" s="111"/>
      <c r="J187" s="111"/>
      <c r="K187" s="111"/>
      <c r="L187" s="111"/>
      <c r="M187" s="111">
        <v>4000</v>
      </c>
      <c r="N187" s="111"/>
      <c r="O187" s="111"/>
      <c r="P187" s="56">
        <f aca="true" t="shared" si="43" ref="P187:P206">F187+G187+H187+I187+J187+K187+L187+M187+N187+O187</f>
        <v>72000</v>
      </c>
      <c r="Q187" s="111">
        <v>6000</v>
      </c>
      <c r="R187" s="306">
        <f t="shared" si="37"/>
        <v>78000</v>
      </c>
      <c r="S187" s="307"/>
    </row>
    <row r="188" spans="2:19" s="73" customFormat="1" ht="12.75">
      <c r="B188" s="39"/>
      <c r="C188" s="27"/>
      <c r="D188" s="44">
        <v>4010</v>
      </c>
      <c r="E188" s="45" t="s">
        <v>47</v>
      </c>
      <c r="F188" s="66">
        <v>970000</v>
      </c>
      <c r="G188" s="111"/>
      <c r="H188" s="111"/>
      <c r="I188" s="111"/>
      <c r="J188" s="111"/>
      <c r="K188" s="111"/>
      <c r="L188" s="111"/>
      <c r="M188" s="111"/>
      <c r="N188" s="111"/>
      <c r="O188" s="111"/>
      <c r="P188" s="56">
        <f t="shared" si="43"/>
        <v>970000</v>
      </c>
      <c r="Q188" s="111">
        <v>65000</v>
      </c>
      <c r="R188" s="306">
        <f t="shared" si="37"/>
        <v>1035000</v>
      </c>
      <c r="S188" s="315" t="s">
        <v>303</v>
      </c>
    </row>
    <row r="189" spans="2:19" s="73" customFormat="1" ht="12.75">
      <c r="B189" s="39"/>
      <c r="C189" s="27"/>
      <c r="D189" s="44">
        <v>4040</v>
      </c>
      <c r="E189" s="45" t="s">
        <v>52</v>
      </c>
      <c r="F189" s="66">
        <v>67800</v>
      </c>
      <c r="G189" s="111"/>
      <c r="H189" s="111"/>
      <c r="I189" s="111"/>
      <c r="J189" s="111">
        <v>763</v>
      </c>
      <c r="K189" s="111"/>
      <c r="L189" s="111"/>
      <c r="M189" s="111"/>
      <c r="N189" s="111"/>
      <c r="O189" s="111"/>
      <c r="P189" s="56">
        <f t="shared" si="43"/>
        <v>68563</v>
      </c>
      <c r="Q189" s="111"/>
      <c r="R189" s="306">
        <f t="shared" si="37"/>
        <v>68563</v>
      </c>
      <c r="S189" s="307"/>
    </row>
    <row r="190" spans="2:19" s="73" customFormat="1" ht="12.75">
      <c r="B190" s="39"/>
      <c r="C190" s="27"/>
      <c r="D190" s="44">
        <v>4110</v>
      </c>
      <c r="E190" s="45" t="s">
        <v>48</v>
      </c>
      <c r="F190" s="66">
        <v>198200</v>
      </c>
      <c r="G190" s="111"/>
      <c r="H190" s="111"/>
      <c r="I190" s="111"/>
      <c r="J190" s="111"/>
      <c r="K190" s="111"/>
      <c r="L190" s="111"/>
      <c r="M190" s="111"/>
      <c r="N190" s="111"/>
      <c r="O190" s="150"/>
      <c r="P190" s="56">
        <f t="shared" si="43"/>
        <v>198200</v>
      </c>
      <c r="Q190" s="150">
        <v>-8000</v>
      </c>
      <c r="R190" s="306">
        <f t="shared" si="37"/>
        <v>190200</v>
      </c>
      <c r="S190" s="307"/>
    </row>
    <row r="191" spans="2:19" s="73" customFormat="1" ht="12.75">
      <c r="B191" s="39"/>
      <c r="C191" s="27"/>
      <c r="D191" s="44">
        <v>4120</v>
      </c>
      <c r="E191" s="45" t="s">
        <v>180</v>
      </c>
      <c r="F191" s="66">
        <v>27000</v>
      </c>
      <c r="G191" s="111"/>
      <c r="H191" s="111"/>
      <c r="I191" s="111"/>
      <c r="J191" s="111"/>
      <c r="K191" s="111"/>
      <c r="L191" s="111"/>
      <c r="M191" s="111"/>
      <c r="N191" s="111"/>
      <c r="O191" s="111"/>
      <c r="P191" s="56">
        <f t="shared" si="43"/>
        <v>27000</v>
      </c>
      <c r="Q191" s="111">
        <v>400</v>
      </c>
      <c r="R191" s="306">
        <f aca="true" t="shared" si="44" ref="R191:R237">P191+Q191</f>
        <v>27400</v>
      </c>
      <c r="S191" s="307"/>
    </row>
    <row r="192" spans="2:19" s="73" customFormat="1" ht="12.75">
      <c r="B192" s="39"/>
      <c r="C192" s="27"/>
      <c r="D192" s="44">
        <v>4210</v>
      </c>
      <c r="E192" s="45" t="s">
        <v>29</v>
      </c>
      <c r="F192" s="66">
        <v>10000</v>
      </c>
      <c r="G192" s="111"/>
      <c r="H192" s="111"/>
      <c r="I192" s="111"/>
      <c r="J192" s="111">
        <v>11000</v>
      </c>
      <c r="K192" s="111">
        <v>2143</v>
      </c>
      <c r="L192" s="111"/>
      <c r="M192" s="150">
        <v>-129</v>
      </c>
      <c r="N192" s="150"/>
      <c r="O192" s="111"/>
      <c r="P192" s="56">
        <f t="shared" si="43"/>
        <v>23014</v>
      </c>
      <c r="Q192" s="111">
        <v>2000</v>
      </c>
      <c r="R192" s="306">
        <f t="shared" si="44"/>
        <v>25014</v>
      </c>
      <c r="S192" s="307"/>
    </row>
    <row r="193" spans="2:19" s="73" customFormat="1" ht="12.75">
      <c r="B193" s="39"/>
      <c r="C193" s="27"/>
      <c r="D193" s="44">
        <v>4240</v>
      </c>
      <c r="E193" s="45" t="s">
        <v>183</v>
      </c>
      <c r="F193" s="66">
        <v>3500</v>
      </c>
      <c r="G193" s="111"/>
      <c r="H193" s="111"/>
      <c r="I193" s="111"/>
      <c r="J193" s="111"/>
      <c r="K193" s="150">
        <v>-1000</v>
      </c>
      <c r="L193" s="111"/>
      <c r="M193" s="111"/>
      <c r="N193" s="111"/>
      <c r="O193" s="150"/>
      <c r="P193" s="56">
        <f t="shared" si="43"/>
        <v>2500</v>
      </c>
      <c r="Q193" s="150">
        <v>-300</v>
      </c>
      <c r="R193" s="306">
        <f t="shared" si="44"/>
        <v>2200</v>
      </c>
      <c r="S193" s="307"/>
    </row>
    <row r="194" spans="2:19" s="73" customFormat="1" ht="12.75">
      <c r="B194" s="39"/>
      <c r="C194" s="27"/>
      <c r="D194" s="44">
        <v>4260</v>
      </c>
      <c r="E194" s="45" t="s">
        <v>49</v>
      </c>
      <c r="F194" s="66">
        <v>130000</v>
      </c>
      <c r="G194" s="111"/>
      <c r="H194" s="111"/>
      <c r="I194" s="111"/>
      <c r="J194" s="150">
        <v>-3563</v>
      </c>
      <c r="K194" s="111"/>
      <c r="L194" s="111"/>
      <c r="M194" s="111"/>
      <c r="N194" s="111"/>
      <c r="O194" s="150"/>
      <c r="P194" s="56">
        <f t="shared" si="43"/>
        <v>126437</v>
      </c>
      <c r="Q194" s="150">
        <v>-10000</v>
      </c>
      <c r="R194" s="306">
        <f t="shared" si="44"/>
        <v>116437</v>
      </c>
      <c r="S194" s="307"/>
    </row>
    <row r="195" spans="2:19" s="73" customFormat="1" ht="12.75">
      <c r="B195" s="39"/>
      <c r="C195" s="27"/>
      <c r="D195" s="44">
        <v>4270</v>
      </c>
      <c r="E195" s="45" t="s">
        <v>30</v>
      </c>
      <c r="F195" s="66">
        <v>1000</v>
      </c>
      <c r="G195" s="111"/>
      <c r="H195" s="111"/>
      <c r="I195" s="111"/>
      <c r="J195" s="111"/>
      <c r="K195" s="111"/>
      <c r="L195" s="111"/>
      <c r="M195" s="111"/>
      <c r="N195" s="111"/>
      <c r="O195" s="111"/>
      <c r="P195" s="56">
        <f t="shared" si="43"/>
        <v>1000</v>
      </c>
      <c r="Q195" s="111"/>
      <c r="R195" s="306">
        <f t="shared" si="44"/>
        <v>1000</v>
      </c>
      <c r="S195" s="307"/>
    </row>
    <row r="196" spans="2:19" s="73" customFormat="1" ht="12.75">
      <c r="B196" s="39"/>
      <c r="C196" s="27"/>
      <c r="D196" s="44">
        <v>4280</v>
      </c>
      <c r="E196" s="45" t="s">
        <v>54</v>
      </c>
      <c r="F196" s="66">
        <v>2400</v>
      </c>
      <c r="G196" s="111"/>
      <c r="H196" s="111"/>
      <c r="I196" s="111"/>
      <c r="J196" s="111"/>
      <c r="K196" s="111"/>
      <c r="L196" s="111"/>
      <c r="M196" s="111"/>
      <c r="N196" s="111"/>
      <c r="O196" s="150"/>
      <c r="P196" s="56">
        <f t="shared" si="43"/>
        <v>2400</v>
      </c>
      <c r="Q196" s="150">
        <v>-400</v>
      </c>
      <c r="R196" s="306">
        <f t="shared" si="44"/>
        <v>2000</v>
      </c>
      <c r="S196" s="307"/>
    </row>
    <row r="197" spans="2:19" s="73" customFormat="1" ht="12.75">
      <c r="B197" s="39"/>
      <c r="C197" s="27"/>
      <c r="D197" s="44">
        <v>4300</v>
      </c>
      <c r="E197" s="45" t="s">
        <v>31</v>
      </c>
      <c r="F197" s="66">
        <v>4000</v>
      </c>
      <c r="G197" s="111">
        <v>8000</v>
      </c>
      <c r="H197" s="111"/>
      <c r="I197" s="111"/>
      <c r="J197" s="111"/>
      <c r="K197" s="111"/>
      <c r="L197" s="111"/>
      <c r="M197" s="111">
        <v>8000</v>
      </c>
      <c r="N197" s="111"/>
      <c r="O197" s="111"/>
      <c r="P197" s="56">
        <f t="shared" si="43"/>
        <v>20000</v>
      </c>
      <c r="Q197" s="111">
        <v>5000</v>
      </c>
      <c r="R197" s="306">
        <f t="shared" si="44"/>
        <v>25000</v>
      </c>
      <c r="S197" s="307"/>
    </row>
    <row r="198" spans="2:19" s="73" customFormat="1" ht="12.75">
      <c r="B198" s="39"/>
      <c r="C198" s="27"/>
      <c r="D198" s="44">
        <v>4350</v>
      </c>
      <c r="E198" s="45" t="s">
        <v>55</v>
      </c>
      <c r="F198" s="66">
        <v>2000</v>
      </c>
      <c r="G198" s="111"/>
      <c r="H198" s="111"/>
      <c r="I198" s="111"/>
      <c r="J198" s="150">
        <v>-1500</v>
      </c>
      <c r="K198" s="111"/>
      <c r="L198" s="111"/>
      <c r="M198" s="111"/>
      <c r="N198" s="111"/>
      <c r="O198" s="111"/>
      <c r="P198" s="56">
        <f t="shared" si="43"/>
        <v>500</v>
      </c>
      <c r="Q198" s="111"/>
      <c r="R198" s="306">
        <f t="shared" si="44"/>
        <v>500</v>
      </c>
      <c r="S198" s="307"/>
    </row>
    <row r="199" spans="2:19" s="73" customFormat="1" ht="38.25">
      <c r="B199" s="39"/>
      <c r="C199" s="27"/>
      <c r="D199" s="44">
        <v>4360</v>
      </c>
      <c r="E199" s="45" t="s">
        <v>56</v>
      </c>
      <c r="F199" s="66"/>
      <c r="G199" s="111"/>
      <c r="H199" s="111"/>
      <c r="I199" s="111"/>
      <c r="J199" s="111">
        <v>300</v>
      </c>
      <c r="K199" s="111"/>
      <c r="L199" s="111"/>
      <c r="M199" s="111">
        <v>500</v>
      </c>
      <c r="N199" s="111"/>
      <c r="O199" s="111"/>
      <c r="P199" s="56">
        <f t="shared" si="43"/>
        <v>800</v>
      </c>
      <c r="Q199" s="111"/>
      <c r="R199" s="306">
        <f t="shared" si="44"/>
        <v>800</v>
      </c>
      <c r="S199" s="307"/>
    </row>
    <row r="200" spans="2:19" s="73" customFormat="1" ht="38.25">
      <c r="B200" s="39"/>
      <c r="C200" s="27"/>
      <c r="D200" s="44">
        <v>4370</v>
      </c>
      <c r="E200" s="45" t="s">
        <v>57</v>
      </c>
      <c r="F200" s="66">
        <v>3600</v>
      </c>
      <c r="G200" s="111"/>
      <c r="H200" s="111"/>
      <c r="I200" s="111"/>
      <c r="J200" s="111"/>
      <c r="K200" s="111"/>
      <c r="L200" s="111"/>
      <c r="M200" s="111"/>
      <c r="N200" s="111"/>
      <c r="O200" s="111"/>
      <c r="P200" s="56">
        <f t="shared" si="43"/>
        <v>3600</v>
      </c>
      <c r="Q200" s="111"/>
      <c r="R200" s="306">
        <f t="shared" si="44"/>
        <v>3600</v>
      </c>
      <c r="S200" s="307"/>
    </row>
    <row r="201" spans="2:19" s="73" customFormat="1" ht="12.75">
      <c r="B201" s="39"/>
      <c r="C201" s="27"/>
      <c r="D201" s="44">
        <v>4410</v>
      </c>
      <c r="E201" s="45" t="s">
        <v>50</v>
      </c>
      <c r="F201" s="66">
        <v>3000</v>
      </c>
      <c r="G201" s="111"/>
      <c r="H201" s="111"/>
      <c r="I201" s="111"/>
      <c r="J201" s="111"/>
      <c r="K201" s="111"/>
      <c r="L201" s="111"/>
      <c r="M201" s="111"/>
      <c r="N201" s="111"/>
      <c r="O201" s="111"/>
      <c r="P201" s="56">
        <f t="shared" si="43"/>
        <v>3000</v>
      </c>
      <c r="Q201" s="111">
        <v>400</v>
      </c>
      <c r="R201" s="306">
        <f t="shared" si="44"/>
        <v>3400</v>
      </c>
      <c r="S201" s="307"/>
    </row>
    <row r="202" spans="2:19" s="73" customFormat="1" ht="12.75">
      <c r="B202" s="39"/>
      <c r="C202" s="27"/>
      <c r="D202" s="44">
        <v>4430</v>
      </c>
      <c r="E202" s="45" t="s">
        <v>184</v>
      </c>
      <c r="F202" s="66">
        <v>7000</v>
      </c>
      <c r="G202" s="111"/>
      <c r="H202" s="111"/>
      <c r="I202" s="111"/>
      <c r="J202" s="111"/>
      <c r="K202" s="111"/>
      <c r="L202" s="111"/>
      <c r="M202" s="111"/>
      <c r="N202" s="111"/>
      <c r="O202" s="150"/>
      <c r="P202" s="56">
        <f t="shared" si="43"/>
        <v>7000</v>
      </c>
      <c r="Q202" s="150">
        <v>-3422</v>
      </c>
      <c r="R202" s="306">
        <f t="shared" si="44"/>
        <v>3578</v>
      </c>
      <c r="S202" s="307"/>
    </row>
    <row r="203" spans="2:19" s="73" customFormat="1" ht="25.5">
      <c r="B203" s="39"/>
      <c r="C203" s="27"/>
      <c r="D203" s="44">
        <v>4440</v>
      </c>
      <c r="E203" s="45" t="s">
        <v>58</v>
      </c>
      <c r="F203" s="66">
        <v>60500</v>
      </c>
      <c r="G203" s="111"/>
      <c r="H203" s="111"/>
      <c r="I203" s="111"/>
      <c r="J203" s="111"/>
      <c r="K203" s="111"/>
      <c r="L203" s="111"/>
      <c r="M203" s="111"/>
      <c r="N203" s="111"/>
      <c r="O203" s="111"/>
      <c r="P203" s="56">
        <f t="shared" si="43"/>
        <v>60500</v>
      </c>
      <c r="Q203" s="111">
        <v>3996</v>
      </c>
      <c r="R203" s="306">
        <f t="shared" si="44"/>
        <v>64496</v>
      </c>
      <c r="S203" s="307"/>
    </row>
    <row r="204" spans="2:19" s="73" customFormat="1" ht="38.25">
      <c r="B204" s="39"/>
      <c r="C204" s="27"/>
      <c r="D204" s="44">
        <v>4740</v>
      </c>
      <c r="E204" s="45" t="s">
        <v>59</v>
      </c>
      <c r="F204" s="66">
        <v>10000</v>
      </c>
      <c r="G204" s="111"/>
      <c r="H204" s="111"/>
      <c r="I204" s="111"/>
      <c r="J204" s="150">
        <v>-7000</v>
      </c>
      <c r="K204" s="150">
        <v>-500</v>
      </c>
      <c r="L204" s="111"/>
      <c r="M204" s="111"/>
      <c r="N204" s="111"/>
      <c r="O204" s="111"/>
      <c r="P204" s="56">
        <f t="shared" si="43"/>
        <v>2500</v>
      </c>
      <c r="Q204" s="111"/>
      <c r="R204" s="306">
        <f t="shared" si="44"/>
        <v>2500</v>
      </c>
      <c r="S204" s="307"/>
    </row>
    <row r="205" spans="2:19" s="73" customFormat="1" ht="25.5">
      <c r="B205" s="39"/>
      <c r="C205" s="27"/>
      <c r="D205" s="44">
        <v>6050</v>
      </c>
      <c r="E205" s="45" t="s">
        <v>34</v>
      </c>
      <c r="F205" s="66">
        <v>50000</v>
      </c>
      <c r="G205" s="150">
        <v>-8000</v>
      </c>
      <c r="H205" s="111"/>
      <c r="I205" s="111"/>
      <c r="J205" s="150">
        <v>-7000</v>
      </c>
      <c r="K205" s="111"/>
      <c r="L205" s="111"/>
      <c r="M205" s="111">
        <v>17300</v>
      </c>
      <c r="N205" s="111"/>
      <c r="O205" s="150"/>
      <c r="P205" s="56">
        <f t="shared" si="43"/>
        <v>52300</v>
      </c>
      <c r="Q205" s="150">
        <v>-7339</v>
      </c>
      <c r="R205" s="306">
        <f t="shared" si="44"/>
        <v>44961</v>
      </c>
      <c r="S205" s="307"/>
    </row>
    <row r="206" spans="2:19" s="73" customFormat="1" ht="25.5">
      <c r="B206" s="39"/>
      <c r="C206" s="27"/>
      <c r="D206" s="44">
        <v>6060</v>
      </c>
      <c r="E206" s="45" t="s">
        <v>45</v>
      </c>
      <c r="F206" s="66"/>
      <c r="G206" s="150"/>
      <c r="H206" s="111"/>
      <c r="I206" s="111"/>
      <c r="J206" s="111">
        <v>7000</v>
      </c>
      <c r="K206" s="150">
        <v>-643</v>
      </c>
      <c r="L206" s="111"/>
      <c r="M206" s="111"/>
      <c r="N206" s="111"/>
      <c r="O206" s="111"/>
      <c r="P206" s="56">
        <f t="shared" si="43"/>
        <v>6357</v>
      </c>
      <c r="Q206" s="111"/>
      <c r="R206" s="306">
        <f t="shared" si="44"/>
        <v>6357</v>
      </c>
      <c r="S206" s="307"/>
    </row>
    <row r="207" spans="2:19" s="73" customFormat="1" ht="12.75">
      <c r="B207" s="39"/>
      <c r="C207" s="27">
        <v>80113</v>
      </c>
      <c r="D207" s="27"/>
      <c r="E207" s="30" t="s">
        <v>188</v>
      </c>
      <c r="F207" s="83">
        <f>SUM(F208:F215)</f>
        <v>293910</v>
      </c>
      <c r="G207" s="84">
        <f aca="true" t="shared" si="45" ref="G207:L207">SUM(G208:G215)</f>
        <v>0</v>
      </c>
      <c r="H207" s="84">
        <f t="shared" si="45"/>
        <v>0</v>
      </c>
      <c r="I207" s="84">
        <f t="shared" si="45"/>
        <v>0</v>
      </c>
      <c r="J207" s="84">
        <f t="shared" si="45"/>
        <v>0</v>
      </c>
      <c r="K207" s="84">
        <f t="shared" si="45"/>
        <v>20000</v>
      </c>
      <c r="L207" s="84">
        <f t="shared" si="45"/>
        <v>0</v>
      </c>
      <c r="M207" s="84">
        <f>SUM(M208:M215)</f>
        <v>0</v>
      </c>
      <c r="N207" s="84">
        <f>SUM(N208:N215)</f>
        <v>0</v>
      </c>
      <c r="O207" s="308"/>
      <c r="P207" s="58">
        <f>SUM(P208:P215)</f>
        <v>313910</v>
      </c>
      <c r="Q207" s="308">
        <f>SUM(Q208:Q215)</f>
        <v>-21410</v>
      </c>
      <c r="R207" s="149">
        <f>SUM(R208:R215)</f>
        <v>292500</v>
      </c>
      <c r="S207" s="305"/>
    </row>
    <row r="208" spans="2:19" s="73" customFormat="1" ht="25.5">
      <c r="B208" s="39"/>
      <c r="C208" s="27"/>
      <c r="D208" s="44">
        <v>3020</v>
      </c>
      <c r="E208" s="45" t="s">
        <v>51</v>
      </c>
      <c r="F208" s="66">
        <v>350</v>
      </c>
      <c r="G208" s="111"/>
      <c r="H208" s="111"/>
      <c r="I208" s="111"/>
      <c r="J208" s="111"/>
      <c r="K208" s="111"/>
      <c r="L208" s="111"/>
      <c r="M208" s="111"/>
      <c r="N208" s="111"/>
      <c r="O208" s="150"/>
      <c r="P208" s="56">
        <f aca="true" t="shared" si="46" ref="P208:P215">F208+G208+H208+I208+J208+K208+L208+M208+N208+O208</f>
        <v>350</v>
      </c>
      <c r="Q208" s="150">
        <v>-10</v>
      </c>
      <c r="R208" s="306">
        <f t="shared" si="44"/>
        <v>340</v>
      </c>
      <c r="S208" s="307"/>
    </row>
    <row r="209" spans="2:19" s="73" customFormat="1" ht="12.75">
      <c r="B209" s="39"/>
      <c r="C209" s="27"/>
      <c r="D209" s="44">
        <v>4010</v>
      </c>
      <c r="E209" s="45" t="s">
        <v>47</v>
      </c>
      <c r="F209" s="66">
        <v>31710</v>
      </c>
      <c r="G209" s="111"/>
      <c r="H209" s="111"/>
      <c r="I209" s="111"/>
      <c r="J209" s="111">
        <v>438</v>
      </c>
      <c r="K209" s="111"/>
      <c r="L209" s="111"/>
      <c r="M209" s="111"/>
      <c r="N209" s="111"/>
      <c r="O209" s="150"/>
      <c r="P209" s="56">
        <f t="shared" si="46"/>
        <v>32148</v>
      </c>
      <c r="Q209" s="150">
        <v>-700</v>
      </c>
      <c r="R209" s="306">
        <f t="shared" si="44"/>
        <v>31448</v>
      </c>
      <c r="S209" s="307"/>
    </row>
    <row r="210" spans="2:19" s="73" customFormat="1" ht="12.75">
      <c r="B210" s="39"/>
      <c r="C210" s="27"/>
      <c r="D210" s="44">
        <v>4040</v>
      </c>
      <c r="E210" s="45" t="s">
        <v>52</v>
      </c>
      <c r="F210" s="66">
        <v>2500</v>
      </c>
      <c r="G210" s="111"/>
      <c r="H210" s="111"/>
      <c r="I210" s="111"/>
      <c r="J210" s="150">
        <v>-438</v>
      </c>
      <c r="K210" s="111"/>
      <c r="L210" s="111"/>
      <c r="M210" s="111"/>
      <c r="N210" s="111"/>
      <c r="O210" s="150"/>
      <c r="P210" s="56">
        <f t="shared" si="46"/>
        <v>2062</v>
      </c>
      <c r="Q210" s="150"/>
      <c r="R210" s="306">
        <f t="shared" si="44"/>
        <v>2062</v>
      </c>
      <c r="S210" s="307"/>
    </row>
    <row r="211" spans="2:19" s="73" customFormat="1" ht="12.75">
      <c r="B211" s="39"/>
      <c r="C211" s="27"/>
      <c r="D211" s="44">
        <v>4110</v>
      </c>
      <c r="E211" s="45" t="s">
        <v>48</v>
      </c>
      <c r="F211" s="66">
        <v>6150</v>
      </c>
      <c r="G211" s="111"/>
      <c r="H211" s="111"/>
      <c r="I211" s="111"/>
      <c r="J211" s="111"/>
      <c r="K211" s="111"/>
      <c r="L211" s="111"/>
      <c r="M211" s="111"/>
      <c r="N211" s="111"/>
      <c r="O211" s="150"/>
      <c r="P211" s="56">
        <f t="shared" si="46"/>
        <v>6150</v>
      </c>
      <c r="Q211" s="150">
        <v>-350</v>
      </c>
      <c r="R211" s="306">
        <f t="shared" si="44"/>
        <v>5800</v>
      </c>
      <c r="S211" s="307"/>
    </row>
    <row r="212" spans="2:19" s="73" customFormat="1" ht="12.75">
      <c r="B212" s="39"/>
      <c r="C212" s="27"/>
      <c r="D212" s="44">
        <v>4120</v>
      </c>
      <c r="E212" s="45" t="s">
        <v>180</v>
      </c>
      <c r="F212" s="66">
        <v>900</v>
      </c>
      <c r="G212" s="111"/>
      <c r="H212" s="111"/>
      <c r="I212" s="111"/>
      <c r="J212" s="111"/>
      <c r="K212" s="111"/>
      <c r="L212" s="111"/>
      <c r="M212" s="111"/>
      <c r="N212" s="111"/>
      <c r="O212" s="150"/>
      <c r="P212" s="56">
        <f t="shared" si="46"/>
        <v>900</v>
      </c>
      <c r="Q212" s="150">
        <v>-50</v>
      </c>
      <c r="R212" s="306">
        <f t="shared" si="44"/>
        <v>850</v>
      </c>
      <c r="S212" s="307"/>
    </row>
    <row r="213" spans="2:19" s="73" customFormat="1" ht="12.75">
      <c r="B213" s="39"/>
      <c r="C213" s="27"/>
      <c r="D213" s="44">
        <v>4280</v>
      </c>
      <c r="E213" s="45" t="s">
        <v>54</v>
      </c>
      <c r="F213" s="66">
        <v>300</v>
      </c>
      <c r="G213" s="111"/>
      <c r="H213" s="111"/>
      <c r="I213" s="111"/>
      <c r="J213" s="111"/>
      <c r="K213" s="111"/>
      <c r="L213" s="111"/>
      <c r="M213" s="111"/>
      <c r="N213" s="111"/>
      <c r="O213" s="150"/>
      <c r="P213" s="56">
        <f t="shared" si="46"/>
        <v>300</v>
      </c>
      <c r="Q213" s="150">
        <v>-300</v>
      </c>
      <c r="R213" s="306">
        <f t="shared" si="44"/>
        <v>0</v>
      </c>
      <c r="S213" s="307"/>
    </row>
    <row r="214" spans="2:19" s="73" customFormat="1" ht="12.75">
      <c r="B214" s="39"/>
      <c r="C214" s="44"/>
      <c r="D214" s="44">
        <v>4300</v>
      </c>
      <c r="E214" s="45" t="s">
        <v>31</v>
      </c>
      <c r="F214" s="66">
        <v>250000</v>
      </c>
      <c r="G214" s="111"/>
      <c r="H214" s="111"/>
      <c r="I214" s="111"/>
      <c r="J214" s="111"/>
      <c r="K214" s="111">
        <v>20000</v>
      </c>
      <c r="L214" s="111"/>
      <c r="M214" s="111"/>
      <c r="N214" s="111"/>
      <c r="O214" s="150"/>
      <c r="P214" s="56">
        <f t="shared" si="46"/>
        <v>270000</v>
      </c>
      <c r="Q214" s="150">
        <v>-20000</v>
      </c>
      <c r="R214" s="306">
        <f t="shared" si="44"/>
        <v>250000</v>
      </c>
      <c r="S214" s="307"/>
    </row>
    <row r="215" spans="2:19" s="73" customFormat="1" ht="25.5">
      <c r="B215" s="39"/>
      <c r="C215" s="44"/>
      <c r="D215" s="44">
        <v>4440</v>
      </c>
      <c r="E215" s="45" t="s">
        <v>58</v>
      </c>
      <c r="F215" s="66">
        <v>2000</v>
      </c>
      <c r="G215" s="111"/>
      <c r="H215" s="111"/>
      <c r="I215" s="111"/>
      <c r="J215" s="111"/>
      <c r="K215" s="111"/>
      <c r="L215" s="111"/>
      <c r="M215" s="111"/>
      <c r="N215" s="111"/>
      <c r="O215" s="150"/>
      <c r="P215" s="56">
        <f t="shared" si="46"/>
        <v>2000</v>
      </c>
      <c r="Q215" s="150"/>
      <c r="R215" s="306">
        <f t="shared" si="44"/>
        <v>2000</v>
      </c>
      <c r="S215" s="307"/>
    </row>
    <row r="216" spans="2:19" s="73" customFormat="1" ht="25.5">
      <c r="B216" s="39"/>
      <c r="C216" s="27">
        <v>80114</v>
      </c>
      <c r="D216" s="27"/>
      <c r="E216" s="30" t="s">
        <v>66</v>
      </c>
      <c r="F216" s="83">
        <f>SUM(F217:F229)</f>
        <v>180750</v>
      </c>
      <c r="G216" s="84">
        <f aca="true" t="shared" si="47" ref="G216:L216">SUM(G217:G229)</f>
        <v>0</v>
      </c>
      <c r="H216" s="84">
        <f t="shared" si="47"/>
        <v>0</v>
      </c>
      <c r="I216" s="84">
        <f t="shared" si="47"/>
        <v>0</v>
      </c>
      <c r="J216" s="84">
        <f>SUM(J218:J230)</f>
        <v>0</v>
      </c>
      <c r="K216" s="84">
        <f>SUM(K217:K230)</f>
        <v>0</v>
      </c>
      <c r="L216" s="84">
        <f t="shared" si="47"/>
        <v>0</v>
      </c>
      <c r="M216" s="84">
        <f>SUM(M217:M229)</f>
        <v>5429</v>
      </c>
      <c r="N216" s="84">
        <f>SUM(N217:N229)</f>
        <v>0</v>
      </c>
      <c r="O216" s="84"/>
      <c r="P216" s="58">
        <f>SUM(P217:P230)</f>
        <v>186179</v>
      </c>
      <c r="Q216" s="84">
        <f>SUM(Q217:Q229)</f>
        <v>5135</v>
      </c>
      <c r="R216" s="149">
        <f>SUM(R217:R230)</f>
        <v>191314</v>
      </c>
      <c r="S216" s="305"/>
    </row>
    <row r="217" spans="2:19" s="73" customFormat="1" ht="25.5">
      <c r="B217" s="39"/>
      <c r="C217" s="44"/>
      <c r="D217" s="44">
        <v>3020</v>
      </c>
      <c r="E217" s="45" t="s">
        <v>51</v>
      </c>
      <c r="F217" s="66">
        <v>400</v>
      </c>
      <c r="G217" s="111"/>
      <c r="H217" s="111"/>
      <c r="I217" s="111"/>
      <c r="J217" s="111"/>
      <c r="K217" s="111"/>
      <c r="L217" s="111"/>
      <c r="M217" s="111"/>
      <c r="N217" s="111"/>
      <c r="O217" s="111"/>
      <c r="P217" s="56">
        <f aca="true" t="shared" si="48" ref="P217:P230">F217+G217+H217+I217+J217+K217+L217+M217+N217+O217</f>
        <v>400</v>
      </c>
      <c r="Q217" s="111">
        <v>35</v>
      </c>
      <c r="R217" s="306">
        <f t="shared" si="44"/>
        <v>435</v>
      </c>
      <c r="S217" s="307"/>
    </row>
    <row r="218" spans="2:19" s="73" customFormat="1" ht="12.75">
      <c r="B218" s="39"/>
      <c r="C218" s="44"/>
      <c r="D218" s="44">
        <v>4010</v>
      </c>
      <c r="E218" s="45" t="s">
        <v>47</v>
      </c>
      <c r="F218" s="66">
        <v>120000</v>
      </c>
      <c r="G218" s="111"/>
      <c r="H218" s="111"/>
      <c r="I218" s="111"/>
      <c r="J218" s="111">
        <v>1500</v>
      </c>
      <c r="K218" s="111"/>
      <c r="L218" s="111"/>
      <c r="M218" s="111"/>
      <c r="N218" s="111"/>
      <c r="O218" s="111"/>
      <c r="P218" s="56">
        <f t="shared" si="48"/>
        <v>121500</v>
      </c>
      <c r="Q218" s="111">
        <v>3500</v>
      </c>
      <c r="R218" s="306">
        <f t="shared" si="44"/>
        <v>125000</v>
      </c>
      <c r="S218" s="315" t="s">
        <v>303</v>
      </c>
    </row>
    <row r="219" spans="2:19" s="73" customFormat="1" ht="12.75">
      <c r="B219" s="39"/>
      <c r="C219" s="44"/>
      <c r="D219" s="44">
        <v>4040</v>
      </c>
      <c r="E219" s="45" t="s">
        <v>52</v>
      </c>
      <c r="F219" s="66">
        <v>9500</v>
      </c>
      <c r="G219" s="111"/>
      <c r="H219" s="111"/>
      <c r="I219" s="111"/>
      <c r="J219" s="150">
        <v>-1939</v>
      </c>
      <c r="K219" s="111"/>
      <c r="L219" s="111"/>
      <c r="M219" s="111"/>
      <c r="N219" s="111"/>
      <c r="O219" s="111"/>
      <c r="P219" s="56">
        <f t="shared" si="48"/>
        <v>7561</v>
      </c>
      <c r="Q219" s="111"/>
      <c r="R219" s="306">
        <f t="shared" si="44"/>
        <v>7561</v>
      </c>
      <c r="S219" s="307"/>
    </row>
    <row r="220" spans="2:19" s="73" customFormat="1" ht="12.75">
      <c r="B220" s="39"/>
      <c r="C220" s="44"/>
      <c r="D220" s="44">
        <v>4110</v>
      </c>
      <c r="E220" s="45" t="s">
        <v>48</v>
      </c>
      <c r="F220" s="66">
        <v>23300</v>
      </c>
      <c r="G220" s="111"/>
      <c r="H220" s="111"/>
      <c r="I220" s="111"/>
      <c r="J220" s="150">
        <v>-1500</v>
      </c>
      <c r="K220" s="111"/>
      <c r="L220" s="111"/>
      <c r="M220" s="111"/>
      <c r="N220" s="111"/>
      <c r="O220" s="150"/>
      <c r="P220" s="56">
        <f t="shared" si="48"/>
        <v>21800</v>
      </c>
      <c r="Q220" s="150">
        <v>-1500</v>
      </c>
      <c r="R220" s="306">
        <f t="shared" si="44"/>
        <v>20300</v>
      </c>
      <c r="S220" s="307"/>
    </row>
    <row r="221" spans="2:19" s="73" customFormat="1" ht="12.75">
      <c r="B221" s="39"/>
      <c r="C221" s="44"/>
      <c r="D221" s="44">
        <v>4120</v>
      </c>
      <c r="E221" s="45" t="s">
        <v>180</v>
      </c>
      <c r="F221" s="66">
        <v>3200</v>
      </c>
      <c r="G221" s="111"/>
      <c r="H221" s="111"/>
      <c r="I221" s="111"/>
      <c r="J221" s="111"/>
      <c r="K221" s="111"/>
      <c r="L221" s="111"/>
      <c r="M221" s="111"/>
      <c r="N221" s="111"/>
      <c r="O221" s="111"/>
      <c r="P221" s="56">
        <f t="shared" si="48"/>
        <v>3200</v>
      </c>
      <c r="Q221" s="111">
        <v>100</v>
      </c>
      <c r="R221" s="306">
        <f t="shared" si="44"/>
        <v>3300</v>
      </c>
      <c r="S221" s="307"/>
    </row>
    <row r="222" spans="2:19" s="73" customFormat="1" ht="12.75">
      <c r="B222" s="39"/>
      <c r="C222" s="44"/>
      <c r="D222" s="44">
        <v>4170</v>
      </c>
      <c r="E222" s="45" t="s">
        <v>53</v>
      </c>
      <c r="F222" s="66"/>
      <c r="G222" s="111"/>
      <c r="H222" s="111"/>
      <c r="I222" s="111"/>
      <c r="J222" s="111">
        <v>700</v>
      </c>
      <c r="K222" s="111"/>
      <c r="L222" s="111"/>
      <c r="M222" s="111"/>
      <c r="N222" s="111"/>
      <c r="O222" s="111"/>
      <c r="P222" s="56">
        <f t="shared" si="48"/>
        <v>700</v>
      </c>
      <c r="Q222" s="111"/>
      <c r="R222" s="306">
        <f t="shared" si="44"/>
        <v>700</v>
      </c>
      <c r="S222" s="307"/>
    </row>
    <row r="223" spans="2:19" s="73" customFormat="1" ht="12.75">
      <c r="B223" s="39"/>
      <c r="C223" s="44"/>
      <c r="D223" s="44">
        <v>4210</v>
      </c>
      <c r="E223" s="45" t="s">
        <v>29</v>
      </c>
      <c r="F223" s="66">
        <v>5000</v>
      </c>
      <c r="G223" s="111">
        <v>2500</v>
      </c>
      <c r="H223" s="111"/>
      <c r="I223" s="111"/>
      <c r="J223" s="150">
        <v>-5076</v>
      </c>
      <c r="K223" s="111"/>
      <c r="L223" s="111"/>
      <c r="M223" s="111">
        <v>2629</v>
      </c>
      <c r="N223" s="111"/>
      <c r="O223" s="111"/>
      <c r="P223" s="56">
        <f t="shared" si="48"/>
        <v>5053</v>
      </c>
      <c r="Q223" s="111">
        <v>800</v>
      </c>
      <c r="R223" s="306">
        <f t="shared" si="44"/>
        <v>5853</v>
      </c>
      <c r="S223" s="307"/>
    </row>
    <row r="224" spans="2:19" s="73" customFormat="1" ht="12.75">
      <c r="B224" s="39"/>
      <c r="C224" s="44"/>
      <c r="D224" s="44">
        <v>4270</v>
      </c>
      <c r="E224" s="45" t="s">
        <v>30</v>
      </c>
      <c r="F224" s="66">
        <v>3500</v>
      </c>
      <c r="G224" s="150">
        <v>-500</v>
      </c>
      <c r="H224" s="111"/>
      <c r="I224" s="111"/>
      <c r="J224" s="150">
        <v>-800</v>
      </c>
      <c r="K224" s="111"/>
      <c r="L224" s="111"/>
      <c r="M224" s="111"/>
      <c r="N224" s="111"/>
      <c r="O224" s="111"/>
      <c r="P224" s="56">
        <f t="shared" si="48"/>
        <v>2200</v>
      </c>
      <c r="Q224" s="111">
        <v>200</v>
      </c>
      <c r="R224" s="306">
        <f t="shared" si="44"/>
        <v>2400</v>
      </c>
      <c r="S224" s="307"/>
    </row>
    <row r="225" spans="2:19" s="73" customFormat="1" ht="12.75" customHeight="1">
      <c r="B225" s="39"/>
      <c r="C225" s="44"/>
      <c r="D225" s="44">
        <v>4280</v>
      </c>
      <c r="E225" s="45" t="s">
        <v>54</v>
      </c>
      <c r="F225" s="66">
        <v>300</v>
      </c>
      <c r="G225" s="111"/>
      <c r="H225" s="111"/>
      <c r="I225" s="111"/>
      <c r="J225" s="111"/>
      <c r="K225" s="111"/>
      <c r="L225" s="111"/>
      <c r="M225" s="150">
        <v>-200</v>
      </c>
      <c r="N225" s="150"/>
      <c r="O225" s="111"/>
      <c r="P225" s="56">
        <f t="shared" si="48"/>
        <v>100</v>
      </c>
      <c r="Q225" s="111"/>
      <c r="R225" s="306">
        <f t="shared" si="44"/>
        <v>100</v>
      </c>
      <c r="S225" s="307"/>
    </row>
    <row r="226" spans="2:19" s="73" customFormat="1" ht="15" customHeight="1">
      <c r="B226" s="39"/>
      <c r="C226" s="44"/>
      <c r="D226" s="44">
        <v>4300</v>
      </c>
      <c r="E226" s="45" t="s">
        <v>31</v>
      </c>
      <c r="F226" s="66">
        <v>7000</v>
      </c>
      <c r="G226" s="111"/>
      <c r="H226" s="111"/>
      <c r="I226" s="111"/>
      <c r="J226" s="111">
        <v>1800</v>
      </c>
      <c r="K226" s="111">
        <v>204</v>
      </c>
      <c r="L226" s="111"/>
      <c r="M226" s="111">
        <v>3000</v>
      </c>
      <c r="N226" s="111"/>
      <c r="O226" s="111"/>
      <c r="P226" s="56">
        <f t="shared" si="48"/>
        <v>12004</v>
      </c>
      <c r="Q226" s="111">
        <v>2000</v>
      </c>
      <c r="R226" s="306">
        <f t="shared" si="44"/>
        <v>14004</v>
      </c>
      <c r="S226" s="307"/>
    </row>
    <row r="227" spans="2:19" s="73" customFormat="1" ht="12.75">
      <c r="B227" s="39"/>
      <c r="C227" s="44"/>
      <c r="D227" s="44">
        <v>4410</v>
      </c>
      <c r="E227" s="45" t="s">
        <v>50</v>
      </c>
      <c r="F227" s="66">
        <v>400</v>
      </c>
      <c r="G227" s="111"/>
      <c r="H227" s="111"/>
      <c r="I227" s="111"/>
      <c r="J227" s="150">
        <v>-200</v>
      </c>
      <c r="K227" s="111"/>
      <c r="L227" s="111"/>
      <c r="M227" s="111"/>
      <c r="N227" s="111"/>
      <c r="O227" s="111"/>
      <c r="P227" s="56">
        <f t="shared" si="48"/>
        <v>200</v>
      </c>
      <c r="Q227" s="111"/>
      <c r="R227" s="306">
        <f t="shared" si="44"/>
        <v>200</v>
      </c>
      <c r="S227" s="307"/>
    </row>
    <row r="228" spans="2:19" s="73" customFormat="1" ht="25.5">
      <c r="B228" s="39"/>
      <c r="C228" s="44"/>
      <c r="D228" s="44">
        <v>4440</v>
      </c>
      <c r="E228" s="45" t="s">
        <v>58</v>
      </c>
      <c r="F228" s="66">
        <v>3150</v>
      </c>
      <c r="G228" s="111"/>
      <c r="H228" s="111"/>
      <c r="I228" s="111"/>
      <c r="J228" s="111"/>
      <c r="K228" s="111"/>
      <c r="L228" s="111"/>
      <c r="M228" s="111"/>
      <c r="N228" s="111"/>
      <c r="O228" s="111"/>
      <c r="P228" s="56">
        <f t="shared" si="48"/>
        <v>3150</v>
      </c>
      <c r="Q228" s="111"/>
      <c r="R228" s="306">
        <f t="shared" si="44"/>
        <v>3150</v>
      </c>
      <c r="S228" s="307"/>
    </row>
    <row r="229" spans="2:19" s="73" customFormat="1" ht="38.25">
      <c r="B229" s="39"/>
      <c r="C229" s="44"/>
      <c r="D229" s="44">
        <v>4740</v>
      </c>
      <c r="E229" s="45" t="s">
        <v>59</v>
      </c>
      <c r="F229" s="66">
        <v>5000</v>
      </c>
      <c r="G229" s="150">
        <v>-2000</v>
      </c>
      <c r="H229" s="111"/>
      <c r="I229" s="111"/>
      <c r="J229" s="150">
        <v>-2500</v>
      </c>
      <c r="K229" s="150">
        <v>-200</v>
      </c>
      <c r="L229" s="111"/>
      <c r="M229" s="111"/>
      <c r="N229" s="111"/>
      <c r="O229" s="111"/>
      <c r="P229" s="56">
        <f t="shared" si="48"/>
        <v>300</v>
      </c>
      <c r="Q229" s="111"/>
      <c r="R229" s="306">
        <f t="shared" si="44"/>
        <v>300</v>
      </c>
      <c r="S229" s="307"/>
    </row>
    <row r="230" spans="2:19" s="73" customFormat="1" ht="25.5">
      <c r="B230" s="39"/>
      <c r="C230" s="44"/>
      <c r="D230" s="44">
        <v>6060</v>
      </c>
      <c r="E230" s="45" t="s">
        <v>45</v>
      </c>
      <c r="F230" s="66"/>
      <c r="G230" s="150"/>
      <c r="H230" s="111"/>
      <c r="I230" s="111"/>
      <c r="J230" s="111">
        <v>8015</v>
      </c>
      <c r="K230" s="150">
        <v>-4</v>
      </c>
      <c r="L230" s="111"/>
      <c r="M230" s="111"/>
      <c r="N230" s="111"/>
      <c r="O230" s="111"/>
      <c r="P230" s="56">
        <f t="shared" si="48"/>
        <v>8011</v>
      </c>
      <c r="Q230" s="111"/>
      <c r="R230" s="306">
        <f t="shared" si="44"/>
        <v>8011</v>
      </c>
      <c r="S230" s="307"/>
    </row>
    <row r="231" spans="2:19" s="73" customFormat="1" ht="25.5" customHeight="1">
      <c r="B231" s="39"/>
      <c r="C231" s="27">
        <v>80146</v>
      </c>
      <c r="D231" s="27"/>
      <c r="E231" s="30" t="s">
        <v>189</v>
      </c>
      <c r="F231" s="83">
        <f>F232</f>
        <v>23800</v>
      </c>
      <c r="G231" s="84">
        <f aca="true" t="shared" si="49" ref="G231:N231">G232</f>
        <v>0</v>
      </c>
      <c r="H231" s="84">
        <f t="shared" si="49"/>
        <v>0</v>
      </c>
      <c r="I231" s="84">
        <f t="shared" si="49"/>
        <v>0</v>
      </c>
      <c r="J231" s="84">
        <f t="shared" si="49"/>
        <v>0</v>
      </c>
      <c r="K231" s="84">
        <f t="shared" si="49"/>
        <v>0</v>
      </c>
      <c r="L231" s="84">
        <f t="shared" si="49"/>
        <v>0</v>
      </c>
      <c r="M231" s="84">
        <f t="shared" si="49"/>
        <v>0</v>
      </c>
      <c r="N231" s="84">
        <f t="shared" si="49"/>
        <v>0</v>
      </c>
      <c r="O231" s="84"/>
      <c r="P231" s="58">
        <f>P232</f>
        <v>23800</v>
      </c>
      <c r="Q231" s="84">
        <f>Q232</f>
        <v>0</v>
      </c>
      <c r="R231" s="149">
        <f>R232</f>
        <v>23800</v>
      </c>
      <c r="S231" s="305"/>
    </row>
    <row r="232" spans="2:19" s="73" customFormat="1" ht="12.75">
      <c r="B232" s="39"/>
      <c r="C232" s="44"/>
      <c r="D232" s="44">
        <v>4300</v>
      </c>
      <c r="E232" s="45" t="s">
        <v>31</v>
      </c>
      <c r="F232" s="66">
        <v>23800</v>
      </c>
      <c r="G232" s="111"/>
      <c r="H232" s="111"/>
      <c r="I232" s="111"/>
      <c r="J232" s="111"/>
      <c r="K232" s="111"/>
      <c r="L232" s="111"/>
      <c r="M232" s="111"/>
      <c r="N232" s="111"/>
      <c r="O232" s="111"/>
      <c r="P232" s="56">
        <f>F232+G232+H232+I232+J232+K232+L232+M232+N232+O232</f>
        <v>23800</v>
      </c>
      <c r="Q232" s="111"/>
      <c r="R232" s="306">
        <f t="shared" si="44"/>
        <v>23800</v>
      </c>
      <c r="S232" s="307"/>
    </row>
    <row r="233" spans="2:19" s="73" customFormat="1" ht="12.75">
      <c r="B233" s="39"/>
      <c r="C233" s="27">
        <v>80195</v>
      </c>
      <c r="D233" s="27"/>
      <c r="E233" s="30" t="s">
        <v>21</v>
      </c>
      <c r="F233" s="83">
        <f>SUM(F234:F237)</f>
        <v>41515</v>
      </c>
      <c r="G233" s="84">
        <f aca="true" t="shared" si="50" ref="G233:L233">SUM(G234:G237)</f>
        <v>0</v>
      </c>
      <c r="H233" s="84">
        <f t="shared" si="50"/>
        <v>0</v>
      </c>
      <c r="I233" s="84">
        <f t="shared" si="50"/>
        <v>0</v>
      </c>
      <c r="J233" s="84">
        <f t="shared" si="50"/>
        <v>0</v>
      </c>
      <c r="K233" s="84">
        <f t="shared" si="50"/>
        <v>14067</v>
      </c>
      <c r="L233" s="84">
        <f t="shared" si="50"/>
        <v>0</v>
      </c>
      <c r="M233" s="84">
        <f>SUM(M234:M237)</f>
        <v>0</v>
      </c>
      <c r="N233" s="84">
        <f>SUM(N234:N237)</f>
        <v>14067</v>
      </c>
      <c r="O233" s="84"/>
      <c r="P233" s="58">
        <f>SUM(P234:P237)</f>
        <v>69649</v>
      </c>
      <c r="Q233" s="84">
        <f>SUM(Q234:Q237)</f>
        <v>8212</v>
      </c>
      <c r="R233" s="149">
        <f>SUM(R234:R237)</f>
        <v>77861</v>
      </c>
      <c r="S233" s="305"/>
    </row>
    <row r="234" spans="2:19" s="73" customFormat="1" ht="48.75" customHeight="1">
      <c r="B234" s="46"/>
      <c r="C234" s="44"/>
      <c r="D234" s="44">
        <v>4170</v>
      </c>
      <c r="E234" s="45" t="s">
        <v>53</v>
      </c>
      <c r="F234" s="66">
        <v>1000</v>
      </c>
      <c r="G234" s="111"/>
      <c r="H234" s="111"/>
      <c r="I234" s="111"/>
      <c r="J234" s="111"/>
      <c r="K234" s="111"/>
      <c r="L234" s="111"/>
      <c r="M234" s="111"/>
      <c r="N234" s="111"/>
      <c r="O234" s="111"/>
      <c r="P234" s="56">
        <f>F234+G234+H234+I234+J234+K234+L234+M234+N234+O234</f>
        <v>1000</v>
      </c>
      <c r="Q234" s="111">
        <v>360</v>
      </c>
      <c r="R234" s="306">
        <f t="shared" si="44"/>
        <v>1360</v>
      </c>
      <c r="S234" s="315" t="s">
        <v>304</v>
      </c>
    </row>
    <row r="235" spans="2:19" s="73" customFormat="1" ht="39.75" customHeight="1">
      <c r="B235" s="46"/>
      <c r="C235" s="44"/>
      <c r="D235" s="44">
        <v>4240</v>
      </c>
      <c r="E235" s="45" t="s">
        <v>183</v>
      </c>
      <c r="F235" s="66"/>
      <c r="G235" s="111"/>
      <c r="H235" s="111"/>
      <c r="I235" s="111"/>
      <c r="J235" s="111"/>
      <c r="K235" s="111"/>
      <c r="L235" s="111"/>
      <c r="M235" s="111"/>
      <c r="N235" s="111"/>
      <c r="O235" s="111"/>
      <c r="P235" s="56">
        <f>F235+G235+H235+I235+J235+K235+L235+M235+N235+O235</f>
        <v>0</v>
      </c>
      <c r="Q235" s="111">
        <v>2230</v>
      </c>
      <c r="R235" s="306">
        <f t="shared" si="44"/>
        <v>2230</v>
      </c>
      <c r="S235" s="315" t="s">
        <v>305</v>
      </c>
    </row>
    <row r="236" spans="2:19" s="73" customFormat="1" ht="37.5" customHeight="1">
      <c r="B236" s="46"/>
      <c r="C236" s="44"/>
      <c r="D236" s="44">
        <v>4300</v>
      </c>
      <c r="E236" s="45" t="s">
        <v>31</v>
      </c>
      <c r="F236" s="66"/>
      <c r="G236" s="111"/>
      <c r="H236" s="111"/>
      <c r="I236" s="111"/>
      <c r="J236" s="111"/>
      <c r="K236" s="111">
        <v>14067</v>
      </c>
      <c r="L236" s="111"/>
      <c r="M236" s="111"/>
      <c r="N236" s="111">
        <v>14067</v>
      </c>
      <c r="O236" s="111"/>
      <c r="P236" s="56">
        <f>F236+G236+H236+I236+J236+K236+L236+M236+N236+O236</f>
        <v>28134</v>
      </c>
      <c r="Q236" s="111">
        <v>5622</v>
      </c>
      <c r="R236" s="306">
        <f t="shared" si="44"/>
        <v>33756</v>
      </c>
      <c r="S236" s="315" t="s">
        <v>306</v>
      </c>
    </row>
    <row r="237" spans="2:19" s="73" customFormat="1" ht="25.5">
      <c r="B237" s="39"/>
      <c r="C237" s="44"/>
      <c r="D237" s="44">
        <v>4440</v>
      </c>
      <c r="E237" s="45" t="s">
        <v>58</v>
      </c>
      <c r="F237" s="66">
        <v>40515</v>
      </c>
      <c r="G237" s="111"/>
      <c r="H237" s="111"/>
      <c r="I237" s="111"/>
      <c r="J237" s="111"/>
      <c r="K237" s="111"/>
      <c r="L237" s="111"/>
      <c r="M237" s="111"/>
      <c r="N237" s="111"/>
      <c r="O237" s="111"/>
      <c r="P237" s="56">
        <f>F237+G237+H237+I237+J237+K237+L237+M237+N237+O237</f>
        <v>40515</v>
      </c>
      <c r="Q237" s="111"/>
      <c r="R237" s="306">
        <f t="shared" si="44"/>
        <v>40515</v>
      </c>
      <c r="S237" s="307"/>
    </row>
    <row r="238" spans="2:19" s="73" customFormat="1" ht="12.75">
      <c r="B238" s="47">
        <v>851</v>
      </c>
      <c r="C238" s="65"/>
      <c r="D238" s="65"/>
      <c r="E238" s="49" t="s">
        <v>109</v>
      </c>
      <c r="F238" s="92">
        <f>F239+F251</f>
        <v>160000</v>
      </c>
      <c r="G238" s="93">
        <f aca="true" t="shared" si="51" ref="G238:L238">G239+G251</f>
        <v>45024</v>
      </c>
      <c r="H238" s="93">
        <f t="shared" si="51"/>
        <v>0</v>
      </c>
      <c r="I238" s="93">
        <f t="shared" si="51"/>
        <v>0</v>
      </c>
      <c r="J238" s="93">
        <f t="shared" si="51"/>
        <v>0</v>
      </c>
      <c r="K238" s="93">
        <f t="shared" si="51"/>
        <v>0</v>
      </c>
      <c r="L238" s="93">
        <f t="shared" si="51"/>
        <v>0</v>
      </c>
      <c r="M238" s="93">
        <f>M239+M251</f>
        <v>0</v>
      </c>
      <c r="N238" s="93">
        <f>N239+N251</f>
        <v>0</v>
      </c>
      <c r="O238" s="93"/>
      <c r="P238" s="92">
        <f>P239+P251</f>
        <v>205024</v>
      </c>
      <c r="Q238" s="93">
        <f>Q239+Q251</f>
        <v>0</v>
      </c>
      <c r="R238" s="92">
        <f>R239+R251</f>
        <v>205024</v>
      </c>
      <c r="S238" s="312"/>
    </row>
    <row r="239" spans="2:19" s="73" customFormat="1" ht="12.75">
      <c r="B239" s="39"/>
      <c r="C239" s="27">
        <v>85154</v>
      </c>
      <c r="D239" s="27"/>
      <c r="E239" s="30" t="s">
        <v>110</v>
      </c>
      <c r="F239" s="83">
        <f>SUM(F240:F249)</f>
        <v>90000</v>
      </c>
      <c r="G239" s="84">
        <f aca="true" t="shared" si="52" ref="G239:L239">SUM(G240:G249)</f>
        <v>45024</v>
      </c>
      <c r="H239" s="84">
        <f t="shared" si="52"/>
        <v>0</v>
      </c>
      <c r="I239" s="84">
        <f>SUM(I240:I250)</f>
        <v>0</v>
      </c>
      <c r="J239" s="84">
        <f t="shared" si="52"/>
        <v>0</v>
      </c>
      <c r="K239" s="84">
        <f t="shared" si="52"/>
        <v>0</v>
      </c>
      <c r="L239" s="84">
        <f t="shared" si="52"/>
        <v>0</v>
      </c>
      <c r="M239" s="84">
        <f>SUM(M240:M249)</f>
        <v>0</v>
      </c>
      <c r="N239" s="84">
        <f>SUM(N240:N249)</f>
        <v>0</v>
      </c>
      <c r="O239" s="84"/>
      <c r="P239" s="58">
        <f>SUM(P240:P250)</f>
        <v>135024</v>
      </c>
      <c r="Q239" s="84">
        <f>SUM(Q240:Q250)</f>
        <v>0</v>
      </c>
      <c r="R239" s="149">
        <f>SUM(R240:R250)</f>
        <v>135024</v>
      </c>
      <c r="S239" s="305"/>
    </row>
    <row r="240" spans="2:19" s="73" customFormat="1" ht="51">
      <c r="B240" s="39"/>
      <c r="C240" s="27"/>
      <c r="D240" s="44">
        <v>2820</v>
      </c>
      <c r="E240" s="45" t="s">
        <v>307</v>
      </c>
      <c r="F240" s="66">
        <v>8000</v>
      </c>
      <c r="G240" s="111">
        <v>5000</v>
      </c>
      <c r="H240" s="111"/>
      <c r="I240" s="111"/>
      <c r="J240" s="111"/>
      <c r="K240" s="111"/>
      <c r="L240" s="111"/>
      <c r="M240" s="111"/>
      <c r="N240" s="111"/>
      <c r="O240" s="111"/>
      <c r="P240" s="56">
        <f aca="true" t="shared" si="53" ref="P240:P250">F240+G240+H240+I240+J240+K240+L240+M240+N240+O240</f>
        <v>13000</v>
      </c>
      <c r="Q240" s="111"/>
      <c r="R240" s="306">
        <f aca="true" t="shared" si="54" ref="R240:R252">P240+Q240</f>
        <v>13000</v>
      </c>
      <c r="S240" s="307"/>
    </row>
    <row r="241" spans="2:19" s="73" customFormat="1" ht="12.75" customHeight="1">
      <c r="B241" s="39"/>
      <c r="C241" s="27"/>
      <c r="D241" s="44">
        <v>4170</v>
      </c>
      <c r="E241" s="45" t="s">
        <v>53</v>
      </c>
      <c r="F241" s="66">
        <v>18000</v>
      </c>
      <c r="G241" s="111"/>
      <c r="H241" s="111"/>
      <c r="I241" s="111"/>
      <c r="J241" s="111"/>
      <c r="K241" s="111"/>
      <c r="L241" s="111"/>
      <c r="M241" s="111"/>
      <c r="N241" s="111"/>
      <c r="O241" s="111"/>
      <c r="P241" s="56">
        <f t="shared" si="53"/>
        <v>18000</v>
      </c>
      <c r="Q241" s="111"/>
      <c r="R241" s="306">
        <f t="shared" si="54"/>
        <v>18000</v>
      </c>
      <c r="S241" s="307"/>
    </row>
    <row r="242" spans="2:19" s="73" customFormat="1" ht="12.75">
      <c r="B242" s="39"/>
      <c r="C242" s="44"/>
      <c r="D242" s="44">
        <v>4210</v>
      </c>
      <c r="E242" s="45" t="s">
        <v>29</v>
      </c>
      <c r="F242" s="66">
        <v>25000</v>
      </c>
      <c r="G242" s="111">
        <v>30024</v>
      </c>
      <c r="H242" s="111"/>
      <c r="I242" s="150">
        <v>-30000</v>
      </c>
      <c r="J242" s="111"/>
      <c r="K242" s="111"/>
      <c r="L242" s="111"/>
      <c r="M242" s="111"/>
      <c r="N242" s="111"/>
      <c r="O242" s="111"/>
      <c r="P242" s="56">
        <f t="shared" si="53"/>
        <v>25024</v>
      </c>
      <c r="Q242" s="111">
        <v>30000</v>
      </c>
      <c r="R242" s="306">
        <f t="shared" si="54"/>
        <v>55024</v>
      </c>
      <c r="S242" s="307"/>
    </row>
    <row r="243" spans="2:19" s="73" customFormat="1" ht="12.75">
      <c r="B243" s="39"/>
      <c r="C243" s="44"/>
      <c r="D243" s="44">
        <v>4260</v>
      </c>
      <c r="E243" s="45" t="s">
        <v>49</v>
      </c>
      <c r="F243" s="66">
        <v>6000</v>
      </c>
      <c r="G243" s="111"/>
      <c r="H243" s="111"/>
      <c r="I243" s="111"/>
      <c r="J243" s="111"/>
      <c r="K243" s="111"/>
      <c r="L243" s="111"/>
      <c r="M243" s="111"/>
      <c r="N243" s="111"/>
      <c r="O243" s="111"/>
      <c r="P243" s="56">
        <f t="shared" si="53"/>
        <v>6000</v>
      </c>
      <c r="Q243" s="111"/>
      <c r="R243" s="306">
        <f t="shared" si="54"/>
        <v>6000</v>
      </c>
      <c r="S243" s="307"/>
    </row>
    <row r="244" spans="2:19" s="73" customFormat="1" ht="12.75">
      <c r="B244" s="39"/>
      <c r="C244" s="44"/>
      <c r="D244" s="44">
        <v>4270</v>
      </c>
      <c r="E244" s="45" t="s">
        <v>30</v>
      </c>
      <c r="F244" s="66">
        <v>4000</v>
      </c>
      <c r="G244" s="111"/>
      <c r="H244" s="111"/>
      <c r="I244" s="111"/>
      <c r="J244" s="111"/>
      <c r="K244" s="111"/>
      <c r="L244" s="111"/>
      <c r="M244" s="111"/>
      <c r="N244" s="111"/>
      <c r="O244" s="111"/>
      <c r="P244" s="56">
        <f t="shared" si="53"/>
        <v>4000</v>
      </c>
      <c r="Q244" s="111"/>
      <c r="R244" s="306">
        <f t="shared" si="54"/>
        <v>4000</v>
      </c>
      <c r="S244" s="307"/>
    </row>
    <row r="245" spans="2:19" s="73" customFormat="1" ht="12.75">
      <c r="B245" s="39"/>
      <c r="C245" s="44"/>
      <c r="D245" s="44">
        <v>4300</v>
      </c>
      <c r="E245" s="45" t="s">
        <v>31</v>
      </c>
      <c r="F245" s="66">
        <v>25800</v>
      </c>
      <c r="G245" s="111">
        <v>10000</v>
      </c>
      <c r="H245" s="111"/>
      <c r="I245" s="111"/>
      <c r="J245" s="111"/>
      <c r="K245" s="111"/>
      <c r="L245" s="111"/>
      <c r="M245" s="111"/>
      <c r="N245" s="111"/>
      <c r="O245" s="111"/>
      <c r="P245" s="56">
        <f t="shared" si="53"/>
        <v>35800</v>
      </c>
      <c r="Q245" s="111"/>
      <c r="R245" s="306">
        <f t="shared" si="54"/>
        <v>35800</v>
      </c>
      <c r="S245" s="307"/>
    </row>
    <row r="246" spans="2:19" s="73" customFormat="1" ht="38.25">
      <c r="B246" s="39"/>
      <c r="C246" s="44"/>
      <c r="D246" s="44">
        <v>4370</v>
      </c>
      <c r="E246" s="45" t="s">
        <v>57</v>
      </c>
      <c r="F246" s="66">
        <v>700</v>
      </c>
      <c r="G246" s="111"/>
      <c r="H246" s="111"/>
      <c r="I246" s="111"/>
      <c r="J246" s="111"/>
      <c r="K246" s="111"/>
      <c r="L246" s="111"/>
      <c r="M246" s="111"/>
      <c r="N246" s="111"/>
      <c r="O246" s="111"/>
      <c r="P246" s="56">
        <f t="shared" si="53"/>
        <v>700</v>
      </c>
      <c r="Q246" s="111"/>
      <c r="R246" s="306">
        <f t="shared" si="54"/>
        <v>700</v>
      </c>
      <c r="S246" s="307"/>
    </row>
    <row r="247" spans="2:19" s="73" customFormat="1" ht="12.75">
      <c r="B247" s="39"/>
      <c r="C247" s="44"/>
      <c r="D247" s="44">
        <v>4410</v>
      </c>
      <c r="E247" s="45" t="s">
        <v>50</v>
      </c>
      <c r="F247" s="66">
        <v>1000</v>
      </c>
      <c r="G247" s="111"/>
      <c r="H247" s="111"/>
      <c r="I247" s="111"/>
      <c r="J247" s="111"/>
      <c r="K247" s="111"/>
      <c r="L247" s="111"/>
      <c r="M247" s="111"/>
      <c r="N247" s="111"/>
      <c r="O247" s="111"/>
      <c r="P247" s="56">
        <f t="shared" si="53"/>
        <v>1000</v>
      </c>
      <c r="Q247" s="111"/>
      <c r="R247" s="306">
        <f t="shared" si="54"/>
        <v>1000</v>
      </c>
      <c r="S247" s="307"/>
    </row>
    <row r="248" spans="2:19" s="73" customFormat="1" ht="12.75">
      <c r="B248" s="39"/>
      <c r="C248" s="44"/>
      <c r="D248" s="44">
        <v>4430</v>
      </c>
      <c r="E248" s="45" t="s">
        <v>36</v>
      </c>
      <c r="F248" s="66">
        <v>500</v>
      </c>
      <c r="G248" s="111"/>
      <c r="H248" s="111"/>
      <c r="I248" s="111"/>
      <c r="J248" s="111"/>
      <c r="K248" s="111"/>
      <c r="L248" s="111"/>
      <c r="M248" s="111"/>
      <c r="N248" s="111"/>
      <c r="O248" s="111"/>
      <c r="P248" s="56">
        <f t="shared" si="53"/>
        <v>500</v>
      </c>
      <c r="Q248" s="111"/>
      <c r="R248" s="306">
        <f t="shared" si="54"/>
        <v>500</v>
      </c>
      <c r="S248" s="307"/>
    </row>
    <row r="249" spans="2:19" s="73" customFormat="1" ht="38.25">
      <c r="B249" s="39"/>
      <c r="C249" s="44"/>
      <c r="D249" s="44">
        <v>4740</v>
      </c>
      <c r="E249" s="45" t="s">
        <v>59</v>
      </c>
      <c r="F249" s="66">
        <v>1000</v>
      </c>
      <c r="G249" s="111"/>
      <c r="H249" s="111"/>
      <c r="I249" s="111"/>
      <c r="J249" s="111"/>
      <c r="K249" s="111"/>
      <c r="L249" s="111"/>
      <c r="M249" s="111"/>
      <c r="N249" s="111"/>
      <c r="O249" s="111"/>
      <c r="P249" s="56">
        <f t="shared" si="53"/>
        <v>1000</v>
      </c>
      <c r="Q249" s="111"/>
      <c r="R249" s="306">
        <f t="shared" si="54"/>
        <v>1000</v>
      </c>
      <c r="S249" s="307"/>
    </row>
    <row r="250" spans="2:19" s="73" customFormat="1" ht="45" customHeight="1">
      <c r="B250" s="39"/>
      <c r="C250" s="44"/>
      <c r="D250" s="44">
        <v>6170</v>
      </c>
      <c r="E250" s="45" t="s">
        <v>111</v>
      </c>
      <c r="F250" s="66"/>
      <c r="G250" s="111"/>
      <c r="H250" s="111"/>
      <c r="I250" s="111">
        <v>30000</v>
      </c>
      <c r="J250" s="111"/>
      <c r="K250" s="111"/>
      <c r="L250" s="111"/>
      <c r="M250" s="111"/>
      <c r="N250" s="111"/>
      <c r="O250" s="150"/>
      <c r="P250" s="56">
        <f t="shared" si="53"/>
        <v>30000</v>
      </c>
      <c r="Q250" s="150">
        <v>-30000</v>
      </c>
      <c r="R250" s="306">
        <f t="shared" si="54"/>
        <v>0</v>
      </c>
      <c r="S250" s="307"/>
    </row>
    <row r="251" spans="2:19" s="73" customFormat="1" ht="12.75">
      <c r="B251" s="39"/>
      <c r="C251" s="27">
        <v>85195</v>
      </c>
      <c r="D251" s="27"/>
      <c r="E251" s="30" t="s">
        <v>21</v>
      </c>
      <c r="F251" s="83">
        <f>F252</f>
        <v>70000</v>
      </c>
      <c r="G251" s="84">
        <f aca="true" t="shared" si="55" ref="G251:N251">G252</f>
        <v>0</v>
      </c>
      <c r="H251" s="84">
        <f t="shared" si="55"/>
        <v>0</v>
      </c>
      <c r="I251" s="84">
        <f t="shared" si="55"/>
        <v>0</v>
      </c>
      <c r="J251" s="84">
        <f t="shared" si="55"/>
        <v>0</v>
      </c>
      <c r="K251" s="84">
        <f t="shared" si="55"/>
        <v>0</v>
      </c>
      <c r="L251" s="84">
        <f t="shared" si="55"/>
        <v>0</v>
      </c>
      <c r="M251" s="84">
        <f t="shared" si="55"/>
        <v>0</v>
      </c>
      <c r="N251" s="84">
        <f t="shared" si="55"/>
        <v>0</v>
      </c>
      <c r="O251" s="84"/>
      <c r="P251" s="58">
        <f>P252+P253</f>
        <v>70000</v>
      </c>
      <c r="Q251" s="84">
        <f>Q252</f>
        <v>0</v>
      </c>
      <c r="R251" s="149">
        <f>R252+R253</f>
        <v>70000</v>
      </c>
      <c r="S251" s="305"/>
    </row>
    <row r="252" spans="2:19" s="73" customFormat="1" ht="12.75">
      <c r="B252" s="39"/>
      <c r="C252" s="27"/>
      <c r="D252" s="44">
        <v>4270</v>
      </c>
      <c r="E252" s="45" t="s">
        <v>30</v>
      </c>
      <c r="F252" s="66">
        <v>70000</v>
      </c>
      <c r="G252" s="111"/>
      <c r="H252" s="111"/>
      <c r="I252" s="111"/>
      <c r="J252" s="111"/>
      <c r="K252" s="111"/>
      <c r="L252" s="111"/>
      <c r="M252" s="111"/>
      <c r="N252" s="111"/>
      <c r="O252" s="111"/>
      <c r="P252" s="56">
        <f>F252+G252+H252+I252+J252+K252+L252+M252+N252+O252</f>
        <v>70000</v>
      </c>
      <c r="Q252" s="111"/>
      <c r="R252" s="306">
        <f t="shared" si="54"/>
        <v>70000</v>
      </c>
      <c r="S252" s="307"/>
    </row>
    <row r="253" spans="2:19" s="73" customFormat="1" ht="76.5" customHeight="1" hidden="1">
      <c r="B253" s="39"/>
      <c r="C253" s="27"/>
      <c r="D253" s="44">
        <v>6300</v>
      </c>
      <c r="E253" s="45" t="s">
        <v>308</v>
      </c>
      <c r="F253" s="83"/>
      <c r="G253" s="84"/>
      <c r="H253" s="84"/>
      <c r="I253" s="84"/>
      <c r="J253" s="84"/>
      <c r="K253" s="84"/>
      <c r="L253" s="84"/>
      <c r="M253" s="84"/>
      <c r="N253" s="84"/>
      <c r="O253" s="84"/>
      <c r="P253" s="56">
        <f>F253+G253+H253+I253+J253+K253+L253</f>
        <v>0</v>
      </c>
      <c r="Q253" s="84"/>
      <c r="R253" s="306">
        <f>G253+I253+J253+K253+L253+M253+N253</f>
        <v>0</v>
      </c>
      <c r="S253" s="307"/>
    </row>
    <row r="254" spans="2:19" s="73" customFormat="1" ht="12.75">
      <c r="B254" s="47">
        <v>852</v>
      </c>
      <c r="C254" s="65"/>
      <c r="D254" s="65"/>
      <c r="E254" s="49" t="s">
        <v>205</v>
      </c>
      <c r="F254" s="92">
        <f>F262+F264+F268+F270+F291+F293+F255</f>
        <v>3323700</v>
      </c>
      <c r="G254" s="311">
        <f aca="true" t="shared" si="56" ref="G254:L254">G262+G264+G268+G270+G291+G293+G255</f>
        <v>-233500</v>
      </c>
      <c r="H254" s="93">
        <f t="shared" si="56"/>
        <v>0</v>
      </c>
      <c r="I254" s="93">
        <f t="shared" si="56"/>
        <v>0</v>
      </c>
      <c r="J254" s="93">
        <f t="shared" si="56"/>
        <v>14060</v>
      </c>
      <c r="K254" s="93">
        <f t="shared" si="56"/>
        <v>0</v>
      </c>
      <c r="L254" s="93">
        <f t="shared" si="56"/>
        <v>8341</v>
      </c>
      <c r="M254" s="93">
        <f>M262+M264+M268+M270+M291+M293+M255</f>
        <v>0</v>
      </c>
      <c r="N254" s="311">
        <f>N262+N264+N268+N270+N291+N293+N255</f>
        <v>-90000</v>
      </c>
      <c r="O254" s="93"/>
      <c r="P254" s="92">
        <f>P262+P264+P268+P270+P291+P293+P255</f>
        <v>3022601</v>
      </c>
      <c r="Q254" s="93">
        <f>Q262+Q264+Q268+Q270+Q291+Q293+Q255</f>
        <v>4358</v>
      </c>
      <c r="R254" s="92">
        <f>R262+R264+R268+R270+R291+R293+R255</f>
        <v>3026959</v>
      </c>
      <c r="S254" s="312"/>
    </row>
    <row r="255" spans="2:19" s="96" customFormat="1" ht="51">
      <c r="B255" s="50"/>
      <c r="C255" s="53">
        <v>85212</v>
      </c>
      <c r="D255" s="157"/>
      <c r="E255" s="30" t="s">
        <v>206</v>
      </c>
      <c r="F255" s="58">
        <f>SUM(F256:F261)</f>
        <v>2302100</v>
      </c>
      <c r="G255" s="313">
        <f aca="true" t="shared" si="57" ref="G255:L255">SUM(G256:G261)</f>
        <v>-229500</v>
      </c>
      <c r="H255" s="59">
        <f t="shared" si="57"/>
        <v>0</v>
      </c>
      <c r="I255" s="59">
        <f t="shared" si="57"/>
        <v>0</v>
      </c>
      <c r="J255" s="59">
        <f t="shared" si="57"/>
        <v>0</v>
      </c>
      <c r="K255" s="59">
        <f t="shared" si="57"/>
        <v>0</v>
      </c>
      <c r="L255" s="59">
        <f t="shared" si="57"/>
        <v>0</v>
      </c>
      <c r="M255" s="59">
        <f>SUM(M256:M261)</f>
        <v>0</v>
      </c>
      <c r="N255" s="313">
        <f>SUM(N256:N261)</f>
        <v>-90000</v>
      </c>
      <c r="O255" s="59"/>
      <c r="P255" s="58">
        <f>SUM(P256:P261)</f>
        <v>1982600</v>
      </c>
      <c r="Q255" s="59">
        <f>SUM(Q256:Q261)</f>
        <v>0</v>
      </c>
      <c r="R255" s="149">
        <f>SUM(R256:R261)</f>
        <v>1982600</v>
      </c>
      <c r="S255" s="305"/>
    </row>
    <row r="256" spans="2:19" s="96" customFormat="1" ht="12.75">
      <c r="B256" s="50"/>
      <c r="C256" s="157"/>
      <c r="D256" s="44">
        <v>3110</v>
      </c>
      <c r="E256" s="45" t="s">
        <v>210</v>
      </c>
      <c r="F256" s="56">
        <v>2233037</v>
      </c>
      <c r="G256" s="314">
        <v>-222615</v>
      </c>
      <c r="H256" s="60"/>
      <c r="I256" s="60"/>
      <c r="J256" s="60"/>
      <c r="K256" s="60"/>
      <c r="L256" s="60"/>
      <c r="M256" s="60"/>
      <c r="N256" s="314">
        <v>-87300</v>
      </c>
      <c r="O256" s="60"/>
      <c r="P256" s="56">
        <f aca="true" t="shared" si="58" ref="P256:P261">F256+G256+H256+I256+J256+K256+L256+M256+N256+O256</f>
        <v>1923122</v>
      </c>
      <c r="Q256" s="60"/>
      <c r="R256" s="306">
        <f aca="true" t="shared" si="59" ref="R256:R296">P256+Q256</f>
        <v>1923122</v>
      </c>
      <c r="S256" s="307"/>
    </row>
    <row r="257" spans="2:19" s="96" customFormat="1" ht="12.75">
      <c r="B257" s="50"/>
      <c r="C257" s="157"/>
      <c r="D257" s="44">
        <v>4010</v>
      </c>
      <c r="E257" s="45" t="s">
        <v>47</v>
      </c>
      <c r="F257" s="56">
        <v>44233</v>
      </c>
      <c r="G257" s="314">
        <v>-4410</v>
      </c>
      <c r="H257" s="60"/>
      <c r="I257" s="60"/>
      <c r="J257" s="60"/>
      <c r="K257" s="60"/>
      <c r="L257" s="60"/>
      <c r="M257" s="60"/>
      <c r="N257" s="314">
        <v>-1728</v>
      </c>
      <c r="O257" s="60"/>
      <c r="P257" s="56">
        <f t="shared" si="58"/>
        <v>38095</v>
      </c>
      <c r="Q257" s="60"/>
      <c r="R257" s="306">
        <f t="shared" si="59"/>
        <v>38095</v>
      </c>
      <c r="S257" s="307"/>
    </row>
    <row r="258" spans="2:19" s="96" customFormat="1" ht="12.75">
      <c r="B258" s="50"/>
      <c r="C258" s="157"/>
      <c r="D258" s="44">
        <v>4110</v>
      </c>
      <c r="E258" s="45" t="s">
        <v>48</v>
      </c>
      <c r="F258" s="56">
        <v>7564</v>
      </c>
      <c r="G258" s="314">
        <v>-754</v>
      </c>
      <c r="H258" s="60"/>
      <c r="I258" s="60"/>
      <c r="J258" s="60"/>
      <c r="K258" s="60"/>
      <c r="L258" s="60"/>
      <c r="M258" s="60"/>
      <c r="N258" s="314">
        <v>-297</v>
      </c>
      <c r="O258" s="60"/>
      <c r="P258" s="56">
        <f t="shared" si="58"/>
        <v>6513</v>
      </c>
      <c r="Q258" s="60"/>
      <c r="R258" s="306">
        <f t="shared" si="59"/>
        <v>6513</v>
      </c>
      <c r="S258" s="307"/>
    </row>
    <row r="259" spans="2:19" s="96" customFormat="1" ht="12.75">
      <c r="B259" s="50"/>
      <c r="C259" s="157"/>
      <c r="D259" s="44">
        <v>4210</v>
      </c>
      <c r="E259" s="45" t="s">
        <v>29</v>
      </c>
      <c r="F259" s="56">
        <v>7000</v>
      </c>
      <c r="G259" s="314">
        <v>-1721</v>
      </c>
      <c r="H259" s="60"/>
      <c r="I259" s="60"/>
      <c r="J259" s="60"/>
      <c r="K259" s="60"/>
      <c r="L259" s="60"/>
      <c r="M259" s="60"/>
      <c r="N259" s="314">
        <v>-675</v>
      </c>
      <c r="O259" s="314"/>
      <c r="P259" s="56">
        <f t="shared" si="58"/>
        <v>4604</v>
      </c>
      <c r="Q259" s="314">
        <v>-2500</v>
      </c>
      <c r="R259" s="306">
        <f t="shared" si="59"/>
        <v>2104</v>
      </c>
      <c r="S259" s="307"/>
    </row>
    <row r="260" spans="2:19" s="96" customFormat="1" ht="12.75">
      <c r="B260" s="50"/>
      <c r="C260" s="157"/>
      <c r="D260" s="44">
        <v>4300</v>
      </c>
      <c r="E260" s="45" t="s">
        <v>31</v>
      </c>
      <c r="F260" s="56">
        <v>10000</v>
      </c>
      <c r="G260" s="60"/>
      <c r="H260" s="60"/>
      <c r="I260" s="60"/>
      <c r="J260" s="60"/>
      <c r="K260" s="60"/>
      <c r="L260" s="60"/>
      <c r="M260" s="60"/>
      <c r="N260" s="60"/>
      <c r="O260" s="60"/>
      <c r="P260" s="56">
        <f t="shared" si="58"/>
        <v>10000</v>
      </c>
      <c r="Q260" s="60">
        <v>2500</v>
      </c>
      <c r="R260" s="306">
        <f t="shared" si="59"/>
        <v>12500</v>
      </c>
      <c r="S260" s="307"/>
    </row>
    <row r="261" spans="2:19" s="96" customFormat="1" ht="12.75">
      <c r="B261" s="50"/>
      <c r="C261" s="157"/>
      <c r="D261" s="44">
        <v>4410</v>
      </c>
      <c r="E261" s="45" t="s">
        <v>50</v>
      </c>
      <c r="F261" s="56">
        <v>266</v>
      </c>
      <c r="G261" s="60"/>
      <c r="H261" s="60"/>
      <c r="I261" s="60"/>
      <c r="J261" s="60"/>
      <c r="K261" s="60"/>
      <c r="L261" s="60"/>
      <c r="M261" s="60"/>
      <c r="N261" s="60"/>
      <c r="O261" s="60"/>
      <c r="P261" s="56">
        <f t="shared" si="58"/>
        <v>266</v>
      </c>
      <c r="Q261" s="60"/>
      <c r="R261" s="306">
        <f t="shared" si="59"/>
        <v>266</v>
      </c>
      <c r="S261" s="307"/>
    </row>
    <row r="262" spans="2:19" s="96" customFormat="1" ht="51">
      <c r="B262" s="50"/>
      <c r="C262" s="27">
        <v>85213</v>
      </c>
      <c r="D262" s="27"/>
      <c r="E262" s="30" t="s">
        <v>207</v>
      </c>
      <c r="F262" s="83">
        <f aca="true" t="shared" si="60" ref="F262:N262">F263</f>
        <v>11700</v>
      </c>
      <c r="G262" s="308">
        <f t="shared" si="60"/>
        <v>-1400</v>
      </c>
      <c r="H262" s="84">
        <f t="shared" si="60"/>
        <v>0</v>
      </c>
      <c r="I262" s="84">
        <f t="shared" si="60"/>
        <v>0</v>
      </c>
      <c r="J262" s="84">
        <f t="shared" si="60"/>
        <v>0</v>
      </c>
      <c r="K262" s="84">
        <f t="shared" si="60"/>
        <v>0</v>
      </c>
      <c r="L262" s="84">
        <f t="shared" si="60"/>
        <v>0</v>
      </c>
      <c r="M262" s="84">
        <f t="shared" si="60"/>
        <v>0</v>
      </c>
      <c r="N262" s="84">
        <f t="shared" si="60"/>
        <v>0</v>
      </c>
      <c r="O262" s="84"/>
      <c r="P262" s="58">
        <f>P263</f>
        <v>10300</v>
      </c>
      <c r="Q262" s="84">
        <f>Q263</f>
        <v>0</v>
      </c>
      <c r="R262" s="149">
        <f>R263</f>
        <v>10300</v>
      </c>
      <c r="S262" s="305"/>
    </row>
    <row r="263" spans="2:19" s="96" customFormat="1" ht="12.75">
      <c r="B263" s="50"/>
      <c r="C263" s="157"/>
      <c r="D263" s="44">
        <v>4130</v>
      </c>
      <c r="E263" s="45" t="s">
        <v>211</v>
      </c>
      <c r="F263" s="56">
        <v>11700</v>
      </c>
      <c r="G263" s="314">
        <v>-1400</v>
      </c>
      <c r="H263" s="60"/>
      <c r="I263" s="60"/>
      <c r="J263" s="60"/>
      <c r="K263" s="60"/>
      <c r="L263" s="60"/>
      <c r="M263" s="60"/>
      <c r="N263" s="60"/>
      <c r="O263" s="60"/>
      <c r="P263" s="56">
        <f>F263+G263+H263+I263+J263+K263+L263+M263+N263+O263</f>
        <v>10300</v>
      </c>
      <c r="Q263" s="60"/>
      <c r="R263" s="306">
        <f t="shared" si="59"/>
        <v>10300</v>
      </c>
      <c r="S263" s="307"/>
    </row>
    <row r="264" spans="2:19" s="73" customFormat="1" ht="25.5">
      <c r="B264" s="39"/>
      <c r="C264" s="27">
        <v>85214</v>
      </c>
      <c r="D264" s="27"/>
      <c r="E264" s="30" t="s">
        <v>208</v>
      </c>
      <c r="F264" s="83">
        <f>F265+F266+F267</f>
        <v>335600</v>
      </c>
      <c r="G264" s="308">
        <f aca="true" t="shared" si="61" ref="G264:L264">G265+G266+G267</f>
        <v>-2600</v>
      </c>
      <c r="H264" s="84">
        <f t="shared" si="61"/>
        <v>0</v>
      </c>
      <c r="I264" s="84">
        <f t="shared" si="61"/>
        <v>0</v>
      </c>
      <c r="J264" s="84">
        <f t="shared" si="61"/>
        <v>1859</v>
      </c>
      <c r="K264" s="84">
        <f t="shared" si="61"/>
        <v>0</v>
      </c>
      <c r="L264" s="84">
        <f t="shared" si="61"/>
        <v>0</v>
      </c>
      <c r="M264" s="84">
        <f>M265+M266+M267</f>
        <v>0</v>
      </c>
      <c r="N264" s="84">
        <f>N265+N266+N267</f>
        <v>0</v>
      </c>
      <c r="O264" s="84"/>
      <c r="P264" s="58">
        <f>SUM(P265:P267)</f>
        <v>334859</v>
      </c>
      <c r="Q264" s="84">
        <f>Q265+Q266+Q267</f>
        <v>0</v>
      </c>
      <c r="R264" s="149">
        <f>SUM(R265:R267)</f>
        <v>334859</v>
      </c>
      <c r="S264" s="305"/>
    </row>
    <row r="265" spans="2:19" s="73" customFormat="1" ht="17.25" customHeight="1">
      <c r="B265" s="39"/>
      <c r="C265" s="44"/>
      <c r="D265" s="44">
        <v>3110</v>
      </c>
      <c r="E265" s="45" t="s">
        <v>210</v>
      </c>
      <c r="F265" s="66">
        <v>204000</v>
      </c>
      <c r="G265" s="150">
        <v>-2600</v>
      </c>
      <c r="H265" s="111"/>
      <c r="I265" s="111"/>
      <c r="J265" s="111">
        <v>1859</v>
      </c>
      <c r="K265" s="111"/>
      <c r="L265" s="111"/>
      <c r="M265" s="111"/>
      <c r="N265" s="111"/>
      <c r="O265" s="111"/>
      <c r="P265" s="56">
        <f>F265+G265+H265+I265+J265+K265+L265+M265+N265+O265</f>
        <v>203259</v>
      </c>
      <c r="Q265" s="111"/>
      <c r="R265" s="306">
        <f t="shared" si="59"/>
        <v>203259</v>
      </c>
      <c r="S265" s="307"/>
    </row>
    <row r="266" spans="2:19" s="73" customFormat="1" ht="12.75">
      <c r="B266" s="39"/>
      <c r="C266" s="44"/>
      <c r="D266" s="44">
        <v>4110</v>
      </c>
      <c r="E266" s="45" t="s">
        <v>212</v>
      </c>
      <c r="F266" s="66">
        <v>2000</v>
      </c>
      <c r="G266" s="111"/>
      <c r="H266" s="111"/>
      <c r="I266" s="111"/>
      <c r="J266" s="111"/>
      <c r="K266" s="111"/>
      <c r="L266" s="111"/>
      <c r="M266" s="111"/>
      <c r="N266" s="111"/>
      <c r="O266" s="111"/>
      <c r="P266" s="56">
        <f>F266+G266+H266+I266+J266+K266+L266+M266+N266+O266</f>
        <v>2000</v>
      </c>
      <c r="Q266" s="111"/>
      <c r="R266" s="306">
        <f t="shared" si="59"/>
        <v>2000</v>
      </c>
      <c r="S266" s="307"/>
    </row>
    <row r="267" spans="2:19" s="73" customFormat="1" ht="38.25">
      <c r="B267" s="39"/>
      <c r="C267" s="44"/>
      <c r="D267" s="44">
        <v>4330</v>
      </c>
      <c r="E267" s="45" t="s">
        <v>213</v>
      </c>
      <c r="F267" s="66">
        <v>129600</v>
      </c>
      <c r="G267" s="111"/>
      <c r="H267" s="111"/>
      <c r="I267" s="111"/>
      <c r="J267" s="111"/>
      <c r="K267" s="111"/>
      <c r="L267" s="111"/>
      <c r="M267" s="111"/>
      <c r="N267" s="111"/>
      <c r="O267" s="111"/>
      <c r="P267" s="56">
        <f>F267+G267+H267+I267+J267+K267+L267+M267+N267+O267</f>
        <v>129600</v>
      </c>
      <c r="Q267" s="111"/>
      <c r="R267" s="306">
        <f t="shared" si="59"/>
        <v>129600</v>
      </c>
      <c r="S267" s="307"/>
    </row>
    <row r="268" spans="2:19" s="73" customFormat="1" ht="12.75">
      <c r="B268" s="39"/>
      <c r="C268" s="27">
        <v>85215</v>
      </c>
      <c r="D268" s="27"/>
      <c r="E268" s="30" t="s">
        <v>214</v>
      </c>
      <c r="F268" s="83">
        <f aca="true" t="shared" si="62" ref="F268:N268">SUM(F269)</f>
        <v>190000</v>
      </c>
      <c r="G268" s="84">
        <f t="shared" si="62"/>
        <v>0</v>
      </c>
      <c r="H268" s="84">
        <f t="shared" si="62"/>
        <v>0</v>
      </c>
      <c r="I268" s="84">
        <f t="shared" si="62"/>
        <v>0</v>
      </c>
      <c r="J268" s="84">
        <f t="shared" si="62"/>
        <v>0</v>
      </c>
      <c r="K268" s="84">
        <f t="shared" si="62"/>
        <v>0</v>
      </c>
      <c r="L268" s="84">
        <f t="shared" si="62"/>
        <v>0</v>
      </c>
      <c r="M268" s="84">
        <f t="shared" si="62"/>
        <v>0</v>
      </c>
      <c r="N268" s="84">
        <f t="shared" si="62"/>
        <v>0</v>
      </c>
      <c r="O268" s="84"/>
      <c r="P268" s="58">
        <f>SUM(P269)</f>
        <v>190000</v>
      </c>
      <c r="Q268" s="84">
        <f>SUM(Q269)</f>
        <v>0</v>
      </c>
      <c r="R268" s="149">
        <f>SUM(R269)</f>
        <v>190000</v>
      </c>
      <c r="S268" s="305"/>
    </row>
    <row r="269" spans="2:19" s="73" customFormat="1" ht="13.5" customHeight="1">
      <c r="B269" s="39"/>
      <c r="C269" s="44"/>
      <c r="D269" s="44">
        <v>3110</v>
      </c>
      <c r="E269" s="45" t="s">
        <v>210</v>
      </c>
      <c r="F269" s="66">
        <v>190000</v>
      </c>
      <c r="G269" s="111"/>
      <c r="H269" s="111"/>
      <c r="I269" s="111"/>
      <c r="J269" s="111"/>
      <c r="K269" s="111"/>
      <c r="L269" s="111"/>
      <c r="M269" s="111"/>
      <c r="N269" s="111"/>
      <c r="O269" s="111"/>
      <c r="P269" s="56">
        <f>F269+G269+H269+I269+J269+K269+L269+M269+N269+O269</f>
        <v>190000</v>
      </c>
      <c r="Q269" s="111"/>
      <c r="R269" s="306">
        <f t="shared" si="59"/>
        <v>190000</v>
      </c>
      <c r="S269" s="307"/>
    </row>
    <row r="270" spans="2:19" s="73" customFormat="1" ht="12.75">
      <c r="B270" s="39"/>
      <c r="C270" s="27">
        <v>85219</v>
      </c>
      <c r="D270" s="27"/>
      <c r="E270" s="30" t="s">
        <v>209</v>
      </c>
      <c r="F270" s="83">
        <f>SUM(F271:F289)</f>
        <v>401300</v>
      </c>
      <c r="G270" s="84">
        <f>SUM(G271:G289)</f>
        <v>0</v>
      </c>
      <c r="H270" s="84">
        <f>SUM(H271:H287)</f>
        <v>0</v>
      </c>
      <c r="I270" s="84">
        <f>SUM(I271:I287)</f>
        <v>0</v>
      </c>
      <c r="J270" s="84">
        <f>SUM(J271:J289)</f>
        <v>0</v>
      </c>
      <c r="K270" s="84">
        <f>SUM(K271:K287)</f>
        <v>0</v>
      </c>
      <c r="L270" s="84">
        <f>SUM(L271:L287)</f>
        <v>0</v>
      </c>
      <c r="M270" s="84">
        <f>SUM(M271:M287)</f>
        <v>0</v>
      </c>
      <c r="N270" s="84">
        <f>SUM(N271:N290)</f>
        <v>0</v>
      </c>
      <c r="O270" s="84"/>
      <c r="P270" s="58">
        <f>SUM(P271:P290)</f>
        <v>401300</v>
      </c>
      <c r="Q270" s="84">
        <f>SUM(Q271:Q290)</f>
        <v>15000</v>
      </c>
      <c r="R270" s="149">
        <f>SUM(R271:R290)</f>
        <v>416300</v>
      </c>
      <c r="S270" s="305"/>
    </row>
    <row r="271" spans="2:19" s="73" customFormat="1" ht="25.5">
      <c r="B271" s="39"/>
      <c r="C271" s="44"/>
      <c r="D271" s="44">
        <v>3020</v>
      </c>
      <c r="E271" s="45" t="s">
        <v>51</v>
      </c>
      <c r="F271" s="66">
        <v>5500</v>
      </c>
      <c r="G271" s="111"/>
      <c r="H271" s="111"/>
      <c r="I271" s="111"/>
      <c r="J271" s="111"/>
      <c r="K271" s="111"/>
      <c r="L271" s="111"/>
      <c r="M271" s="111"/>
      <c r="N271" s="111"/>
      <c r="O271" s="111"/>
      <c r="P271" s="56">
        <f aca="true" t="shared" si="63" ref="P271:P290">F271+G271+H271+I271+J271+K271+L271+M271+N271+O271</f>
        <v>5500</v>
      </c>
      <c r="Q271" s="111">
        <v>2700</v>
      </c>
      <c r="R271" s="306">
        <f t="shared" si="59"/>
        <v>8200</v>
      </c>
      <c r="S271" s="307"/>
    </row>
    <row r="272" spans="2:19" s="73" customFormat="1" ht="12.75">
      <c r="B272" s="39"/>
      <c r="C272" s="44"/>
      <c r="D272" s="44">
        <v>4010</v>
      </c>
      <c r="E272" s="45" t="s">
        <v>47</v>
      </c>
      <c r="F272" s="66">
        <v>247900</v>
      </c>
      <c r="G272" s="111"/>
      <c r="H272" s="111"/>
      <c r="I272" s="111"/>
      <c r="J272" s="111"/>
      <c r="K272" s="111"/>
      <c r="L272" s="111"/>
      <c r="M272" s="111"/>
      <c r="N272" s="111"/>
      <c r="O272" s="111"/>
      <c r="P272" s="56">
        <f t="shared" si="63"/>
        <v>247900</v>
      </c>
      <c r="Q272" s="111">
        <v>7600</v>
      </c>
      <c r="R272" s="306">
        <f t="shared" si="59"/>
        <v>255500</v>
      </c>
      <c r="S272" s="307"/>
    </row>
    <row r="273" spans="2:19" s="73" customFormat="1" ht="12.75">
      <c r="B273" s="39"/>
      <c r="C273" s="44"/>
      <c r="D273" s="44">
        <v>4040</v>
      </c>
      <c r="E273" s="45" t="s">
        <v>52</v>
      </c>
      <c r="F273" s="66">
        <v>19400</v>
      </c>
      <c r="G273" s="111"/>
      <c r="H273" s="111"/>
      <c r="I273" s="111"/>
      <c r="J273" s="150">
        <v>-467</v>
      </c>
      <c r="K273" s="111"/>
      <c r="L273" s="111"/>
      <c r="M273" s="111"/>
      <c r="N273" s="111"/>
      <c r="O273" s="111"/>
      <c r="P273" s="56">
        <f t="shared" si="63"/>
        <v>18933</v>
      </c>
      <c r="Q273" s="111"/>
      <c r="R273" s="306">
        <f t="shared" si="59"/>
        <v>18933</v>
      </c>
      <c r="S273" s="307"/>
    </row>
    <row r="274" spans="2:19" s="73" customFormat="1" ht="12.75">
      <c r="B274" s="39"/>
      <c r="C274" s="44"/>
      <c r="D274" s="44">
        <v>4110</v>
      </c>
      <c r="E274" s="45" t="s">
        <v>48</v>
      </c>
      <c r="F274" s="66">
        <v>44000</v>
      </c>
      <c r="G274" s="111"/>
      <c r="H274" s="111"/>
      <c r="I274" s="111"/>
      <c r="J274" s="111"/>
      <c r="K274" s="111"/>
      <c r="L274" s="111"/>
      <c r="M274" s="111"/>
      <c r="N274" s="111"/>
      <c r="O274" s="111"/>
      <c r="P274" s="56">
        <f t="shared" si="63"/>
        <v>44000</v>
      </c>
      <c r="Q274" s="111">
        <v>4800</v>
      </c>
      <c r="R274" s="306">
        <f t="shared" si="59"/>
        <v>48800</v>
      </c>
      <c r="S274" s="307"/>
    </row>
    <row r="275" spans="2:19" s="73" customFormat="1" ht="12.75">
      <c r="B275" s="39"/>
      <c r="C275" s="44"/>
      <c r="D275" s="44">
        <v>4120</v>
      </c>
      <c r="E275" s="45" t="s">
        <v>215</v>
      </c>
      <c r="F275" s="66">
        <v>6000</v>
      </c>
      <c r="G275" s="111"/>
      <c r="H275" s="111"/>
      <c r="I275" s="111"/>
      <c r="J275" s="111"/>
      <c r="K275" s="111"/>
      <c r="L275" s="111"/>
      <c r="M275" s="111"/>
      <c r="N275" s="111"/>
      <c r="O275" s="111"/>
      <c r="P275" s="56">
        <f t="shared" si="63"/>
        <v>6000</v>
      </c>
      <c r="Q275" s="111">
        <v>610</v>
      </c>
      <c r="R275" s="306">
        <f t="shared" si="59"/>
        <v>6610</v>
      </c>
      <c r="S275" s="307"/>
    </row>
    <row r="276" spans="2:19" s="73" customFormat="1" ht="18" customHeight="1">
      <c r="B276" s="39"/>
      <c r="C276" s="44"/>
      <c r="D276" s="44">
        <v>4170</v>
      </c>
      <c r="E276" s="45" t="s">
        <v>53</v>
      </c>
      <c r="F276" s="66">
        <v>8000</v>
      </c>
      <c r="G276" s="111"/>
      <c r="H276" s="111"/>
      <c r="I276" s="111"/>
      <c r="J276" s="111"/>
      <c r="K276" s="111"/>
      <c r="L276" s="111"/>
      <c r="M276" s="111"/>
      <c r="N276" s="150">
        <v>-4000</v>
      </c>
      <c r="O276" s="150"/>
      <c r="P276" s="56">
        <f t="shared" si="63"/>
        <v>4000</v>
      </c>
      <c r="Q276" s="150">
        <v>-1000</v>
      </c>
      <c r="R276" s="306">
        <f t="shared" si="59"/>
        <v>3000</v>
      </c>
      <c r="S276" s="307"/>
    </row>
    <row r="277" spans="2:19" s="73" customFormat="1" ht="12.75">
      <c r="B277" s="39"/>
      <c r="C277" s="44"/>
      <c r="D277" s="44">
        <v>4210</v>
      </c>
      <c r="E277" s="45" t="s">
        <v>29</v>
      </c>
      <c r="F277" s="66">
        <v>10000</v>
      </c>
      <c r="G277" s="150">
        <v>-5000</v>
      </c>
      <c r="H277" s="111"/>
      <c r="I277" s="111"/>
      <c r="J277" s="111"/>
      <c r="K277" s="111"/>
      <c r="L277" s="111"/>
      <c r="M277" s="111"/>
      <c r="N277" s="111">
        <v>4955</v>
      </c>
      <c r="O277" s="111"/>
      <c r="P277" s="56">
        <f t="shared" si="63"/>
        <v>9955</v>
      </c>
      <c r="Q277" s="111"/>
      <c r="R277" s="306">
        <f t="shared" si="59"/>
        <v>9955</v>
      </c>
      <c r="S277" s="307"/>
    </row>
    <row r="278" spans="2:19" s="73" customFormat="1" ht="15.75" customHeight="1">
      <c r="B278" s="39"/>
      <c r="C278" s="44"/>
      <c r="D278" s="44">
        <v>4260</v>
      </c>
      <c r="E278" s="45" t="s">
        <v>49</v>
      </c>
      <c r="F278" s="66">
        <v>8300</v>
      </c>
      <c r="G278" s="111"/>
      <c r="H278" s="111"/>
      <c r="I278" s="111"/>
      <c r="J278" s="111"/>
      <c r="K278" s="111"/>
      <c r="L278" s="111"/>
      <c r="M278" s="111"/>
      <c r="N278" s="111"/>
      <c r="O278" s="111"/>
      <c r="P278" s="56">
        <f t="shared" si="63"/>
        <v>8300</v>
      </c>
      <c r="Q278" s="111">
        <v>1200</v>
      </c>
      <c r="R278" s="306">
        <f t="shared" si="59"/>
        <v>9500</v>
      </c>
      <c r="S278" s="307"/>
    </row>
    <row r="279" spans="2:19" s="73" customFormat="1" ht="12.75">
      <c r="B279" s="39"/>
      <c r="C279" s="44"/>
      <c r="D279" s="44">
        <v>4270</v>
      </c>
      <c r="E279" s="45" t="s">
        <v>61</v>
      </c>
      <c r="F279" s="66">
        <v>2000</v>
      </c>
      <c r="G279" s="111"/>
      <c r="H279" s="111"/>
      <c r="I279" s="111"/>
      <c r="J279" s="111"/>
      <c r="K279" s="111"/>
      <c r="L279" s="111"/>
      <c r="M279" s="111"/>
      <c r="N279" s="111"/>
      <c r="O279" s="111"/>
      <c r="P279" s="56">
        <f t="shared" si="63"/>
        <v>2000</v>
      </c>
      <c r="Q279" s="111"/>
      <c r="R279" s="306">
        <f t="shared" si="59"/>
        <v>2000</v>
      </c>
      <c r="S279" s="307"/>
    </row>
    <row r="280" spans="2:19" s="73" customFormat="1" ht="12.75">
      <c r="B280" s="39"/>
      <c r="C280" s="44"/>
      <c r="D280" s="44">
        <v>4280</v>
      </c>
      <c r="E280" s="45" t="s">
        <v>54</v>
      </c>
      <c r="F280" s="66">
        <v>1000</v>
      </c>
      <c r="G280" s="111"/>
      <c r="H280" s="111"/>
      <c r="I280" s="111"/>
      <c r="J280" s="111">
        <v>2500</v>
      </c>
      <c r="K280" s="111"/>
      <c r="L280" s="111"/>
      <c r="M280" s="111"/>
      <c r="N280" s="111"/>
      <c r="O280" s="111"/>
      <c r="P280" s="56">
        <f t="shared" si="63"/>
        <v>3500</v>
      </c>
      <c r="Q280" s="111"/>
      <c r="R280" s="306">
        <f t="shared" si="59"/>
        <v>3500</v>
      </c>
      <c r="S280" s="307"/>
    </row>
    <row r="281" spans="2:19" s="73" customFormat="1" ht="12.75">
      <c r="B281" s="39"/>
      <c r="C281" s="44"/>
      <c r="D281" s="44">
        <v>4300</v>
      </c>
      <c r="E281" s="45" t="s">
        <v>31</v>
      </c>
      <c r="F281" s="66">
        <v>22800</v>
      </c>
      <c r="G281" s="111"/>
      <c r="H281" s="111"/>
      <c r="I281" s="111"/>
      <c r="J281" s="150">
        <v>-8845</v>
      </c>
      <c r="K281" s="111"/>
      <c r="L281" s="111"/>
      <c r="M281" s="111"/>
      <c r="N281" s="150">
        <v>-4955</v>
      </c>
      <c r="O281" s="111"/>
      <c r="P281" s="56">
        <f t="shared" si="63"/>
        <v>9000</v>
      </c>
      <c r="Q281" s="111">
        <v>1191</v>
      </c>
      <c r="R281" s="306">
        <f t="shared" si="59"/>
        <v>10191</v>
      </c>
      <c r="S281" s="307"/>
    </row>
    <row r="282" spans="2:19" s="73" customFormat="1" ht="12.75">
      <c r="B282" s="39"/>
      <c r="C282" s="44"/>
      <c r="D282" s="44">
        <v>4350</v>
      </c>
      <c r="E282" s="45" t="s">
        <v>55</v>
      </c>
      <c r="F282" s="66">
        <v>1000</v>
      </c>
      <c r="G282" s="111"/>
      <c r="H282" s="111"/>
      <c r="I282" s="111"/>
      <c r="J282" s="111"/>
      <c r="K282" s="111"/>
      <c r="L282" s="111"/>
      <c r="M282" s="111"/>
      <c r="N282" s="111"/>
      <c r="O282" s="150"/>
      <c r="P282" s="56">
        <f t="shared" si="63"/>
        <v>1000</v>
      </c>
      <c r="Q282" s="150">
        <v>-439</v>
      </c>
      <c r="R282" s="306">
        <f t="shared" si="59"/>
        <v>561</v>
      </c>
      <c r="S282" s="307"/>
    </row>
    <row r="283" spans="2:19" s="73" customFormat="1" ht="43.5" customHeight="1">
      <c r="B283" s="39"/>
      <c r="C283" s="44"/>
      <c r="D283" s="44">
        <v>4370</v>
      </c>
      <c r="E283" s="45" t="s">
        <v>57</v>
      </c>
      <c r="F283" s="66">
        <v>7800</v>
      </c>
      <c r="G283" s="111"/>
      <c r="H283" s="111"/>
      <c r="I283" s="111"/>
      <c r="J283" s="150">
        <v>-1500</v>
      </c>
      <c r="K283" s="111"/>
      <c r="L283" s="111"/>
      <c r="M283" s="111"/>
      <c r="N283" s="111"/>
      <c r="O283" s="111"/>
      <c r="P283" s="56">
        <f t="shared" si="63"/>
        <v>6300</v>
      </c>
      <c r="Q283" s="111"/>
      <c r="R283" s="306">
        <f t="shared" si="59"/>
        <v>6300</v>
      </c>
      <c r="S283" s="307"/>
    </row>
    <row r="284" spans="2:19" s="73" customFormat="1" ht="25.5">
      <c r="B284" s="39"/>
      <c r="C284" s="44"/>
      <c r="D284" s="44">
        <v>4400</v>
      </c>
      <c r="E284" s="45" t="s">
        <v>216</v>
      </c>
      <c r="F284" s="66"/>
      <c r="G284" s="111"/>
      <c r="H284" s="111"/>
      <c r="I284" s="111"/>
      <c r="J284" s="111">
        <v>9000</v>
      </c>
      <c r="K284" s="111"/>
      <c r="L284" s="111"/>
      <c r="M284" s="111"/>
      <c r="N284" s="111"/>
      <c r="O284" s="150"/>
      <c r="P284" s="56">
        <f t="shared" si="63"/>
        <v>9000</v>
      </c>
      <c r="Q284" s="150">
        <v>-662</v>
      </c>
      <c r="R284" s="306">
        <f t="shared" si="59"/>
        <v>8338</v>
      </c>
      <c r="S284" s="307"/>
    </row>
    <row r="285" spans="2:19" s="73" customFormat="1" ht="15.75" customHeight="1">
      <c r="B285" s="39"/>
      <c r="C285" s="44"/>
      <c r="D285" s="44">
        <v>4410</v>
      </c>
      <c r="E285" s="45" t="s">
        <v>50</v>
      </c>
      <c r="F285" s="66">
        <v>9000</v>
      </c>
      <c r="G285" s="111"/>
      <c r="H285" s="111"/>
      <c r="I285" s="111"/>
      <c r="J285" s="150">
        <v>-1000</v>
      </c>
      <c r="K285" s="111"/>
      <c r="L285" s="111"/>
      <c r="M285" s="111"/>
      <c r="N285" s="111"/>
      <c r="O285" s="150"/>
      <c r="P285" s="56">
        <f t="shared" si="63"/>
        <v>8000</v>
      </c>
      <c r="Q285" s="150">
        <v>-1000</v>
      </c>
      <c r="R285" s="306">
        <f t="shared" si="59"/>
        <v>7000</v>
      </c>
      <c r="S285" s="307"/>
    </row>
    <row r="286" spans="2:19" s="73" customFormat="1" ht="15.75" customHeight="1">
      <c r="B286" s="39"/>
      <c r="C286" s="44"/>
      <c r="D286" s="44">
        <v>4430</v>
      </c>
      <c r="E286" s="45" t="s">
        <v>36</v>
      </c>
      <c r="F286" s="66">
        <v>1000</v>
      </c>
      <c r="G286" s="111"/>
      <c r="H286" s="111"/>
      <c r="I286" s="111"/>
      <c r="J286" s="111"/>
      <c r="K286" s="111"/>
      <c r="L286" s="111"/>
      <c r="M286" s="111"/>
      <c r="N286" s="111"/>
      <c r="O286" s="111"/>
      <c r="P286" s="56">
        <f t="shared" si="63"/>
        <v>1000</v>
      </c>
      <c r="Q286" s="111"/>
      <c r="R286" s="306">
        <f t="shared" si="59"/>
        <v>1000</v>
      </c>
      <c r="S286" s="307"/>
    </row>
    <row r="287" spans="2:19" s="73" customFormat="1" ht="25.5">
      <c r="B287" s="39"/>
      <c r="C287" s="44"/>
      <c r="D287" s="44">
        <v>4440</v>
      </c>
      <c r="E287" s="45" t="s">
        <v>58</v>
      </c>
      <c r="F287" s="66">
        <v>7600</v>
      </c>
      <c r="G287" s="111"/>
      <c r="H287" s="111"/>
      <c r="I287" s="111"/>
      <c r="J287" s="111">
        <v>312</v>
      </c>
      <c r="K287" s="111"/>
      <c r="L287" s="111"/>
      <c r="M287" s="111"/>
      <c r="N287" s="111"/>
      <c r="O287" s="111"/>
      <c r="P287" s="56">
        <f t="shared" si="63"/>
        <v>7912</v>
      </c>
      <c r="Q287" s="111"/>
      <c r="R287" s="306">
        <f t="shared" si="59"/>
        <v>7912</v>
      </c>
      <c r="S287" s="307"/>
    </row>
    <row r="288" spans="2:19" s="73" customFormat="1" ht="38.25">
      <c r="B288" s="39"/>
      <c r="C288" s="44"/>
      <c r="D288" s="44">
        <v>4740</v>
      </c>
      <c r="E288" s="45" t="s">
        <v>59</v>
      </c>
      <c r="F288" s="66"/>
      <c r="G288" s="111">
        <v>2500</v>
      </c>
      <c r="H288" s="111"/>
      <c r="I288" s="111"/>
      <c r="J288" s="111"/>
      <c r="K288" s="111"/>
      <c r="L288" s="111"/>
      <c r="M288" s="111"/>
      <c r="N288" s="111"/>
      <c r="O288" s="111"/>
      <c r="P288" s="56">
        <f t="shared" si="63"/>
        <v>2500</v>
      </c>
      <c r="Q288" s="111"/>
      <c r="R288" s="306">
        <f t="shared" si="59"/>
        <v>2500</v>
      </c>
      <c r="S288" s="307"/>
    </row>
    <row r="289" spans="2:19" s="73" customFormat="1" ht="25.5">
      <c r="B289" s="39"/>
      <c r="C289" s="44"/>
      <c r="D289" s="44">
        <v>4750</v>
      </c>
      <c r="E289" s="45" t="s">
        <v>60</v>
      </c>
      <c r="F289" s="66"/>
      <c r="G289" s="111">
        <v>2500</v>
      </c>
      <c r="H289" s="111"/>
      <c r="I289" s="111"/>
      <c r="J289" s="111"/>
      <c r="K289" s="111"/>
      <c r="L289" s="111"/>
      <c r="M289" s="111"/>
      <c r="N289" s="111"/>
      <c r="O289" s="111"/>
      <c r="P289" s="56">
        <f t="shared" si="63"/>
        <v>2500</v>
      </c>
      <c r="Q289" s="111"/>
      <c r="R289" s="306">
        <f t="shared" si="59"/>
        <v>2500</v>
      </c>
      <c r="S289" s="307"/>
    </row>
    <row r="290" spans="2:19" s="73" customFormat="1" ht="25.5">
      <c r="B290" s="39"/>
      <c r="C290" s="44"/>
      <c r="D290" s="44">
        <v>6060</v>
      </c>
      <c r="E290" s="45" t="s">
        <v>45</v>
      </c>
      <c r="F290" s="66"/>
      <c r="G290" s="111"/>
      <c r="H290" s="111"/>
      <c r="I290" s="111"/>
      <c r="J290" s="111"/>
      <c r="K290" s="111"/>
      <c r="L290" s="111"/>
      <c r="M290" s="111"/>
      <c r="N290" s="111">
        <v>4000</v>
      </c>
      <c r="O290" s="111"/>
      <c r="P290" s="56">
        <f t="shared" si="63"/>
        <v>4000</v>
      </c>
      <c r="Q290" s="111"/>
      <c r="R290" s="306">
        <f t="shared" si="59"/>
        <v>4000</v>
      </c>
      <c r="S290" s="307"/>
    </row>
    <row r="291" spans="2:19" s="73" customFormat="1" ht="25.5">
      <c r="B291" s="39"/>
      <c r="C291" s="27">
        <v>85228</v>
      </c>
      <c r="D291" s="27"/>
      <c r="E291" s="30" t="s">
        <v>217</v>
      </c>
      <c r="F291" s="83">
        <f>F292</f>
        <v>15000</v>
      </c>
      <c r="G291" s="84">
        <f aca="true" t="shared" si="64" ref="G291:N291">G292</f>
        <v>0</v>
      </c>
      <c r="H291" s="84">
        <f t="shared" si="64"/>
        <v>0</v>
      </c>
      <c r="I291" s="84">
        <f t="shared" si="64"/>
        <v>0</v>
      </c>
      <c r="J291" s="84">
        <f t="shared" si="64"/>
        <v>0</v>
      </c>
      <c r="K291" s="84">
        <f t="shared" si="64"/>
        <v>0</v>
      </c>
      <c r="L291" s="84">
        <f t="shared" si="64"/>
        <v>0</v>
      </c>
      <c r="M291" s="84">
        <f t="shared" si="64"/>
        <v>0</v>
      </c>
      <c r="N291" s="84">
        <f t="shared" si="64"/>
        <v>0</v>
      </c>
      <c r="O291" s="308"/>
      <c r="P291" s="58">
        <f>SUM(P292:P292)</f>
        <v>15000</v>
      </c>
      <c r="Q291" s="308">
        <f>Q292</f>
        <v>-15000</v>
      </c>
      <c r="R291" s="149">
        <f>SUM(R292:R292)</f>
        <v>0</v>
      </c>
      <c r="S291" s="305"/>
    </row>
    <row r="292" spans="2:19" s="73" customFormat="1" ht="15.75" customHeight="1">
      <c r="B292" s="39"/>
      <c r="C292" s="44"/>
      <c r="D292" s="44">
        <v>4170</v>
      </c>
      <c r="E292" s="45" t="s">
        <v>53</v>
      </c>
      <c r="F292" s="66">
        <v>15000</v>
      </c>
      <c r="G292" s="111"/>
      <c r="H292" s="111"/>
      <c r="I292" s="111"/>
      <c r="J292" s="111"/>
      <c r="K292" s="111"/>
      <c r="L292" s="111"/>
      <c r="M292" s="111"/>
      <c r="N292" s="111"/>
      <c r="O292" s="150"/>
      <c r="P292" s="56">
        <f>F292+G292+H292+I292+J292+K292+L292+M292+N292+O292</f>
        <v>15000</v>
      </c>
      <c r="Q292" s="150">
        <v>-15000</v>
      </c>
      <c r="R292" s="306">
        <f t="shared" si="59"/>
        <v>0</v>
      </c>
      <c r="S292" s="307"/>
    </row>
    <row r="293" spans="2:19" s="73" customFormat="1" ht="15" customHeight="1">
      <c r="B293" s="39"/>
      <c r="C293" s="27">
        <v>85295</v>
      </c>
      <c r="D293" s="27"/>
      <c r="E293" s="30" t="s">
        <v>21</v>
      </c>
      <c r="F293" s="83">
        <f>SUM(F294:F296)</f>
        <v>68000</v>
      </c>
      <c r="G293" s="84">
        <f aca="true" t="shared" si="65" ref="G293:L293">SUM(G294:G296)</f>
        <v>0</v>
      </c>
      <c r="H293" s="84">
        <f t="shared" si="65"/>
        <v>0</v>
      </c>
      <c r="I293" s="84">
        <f t="shared" si="65"/>
        <v>0</v>
      </c>
      <c r="J293" s="84">
        <f t="shared" si="65"/>
        <v>12201</v>
      </c>
      <c r="K293" s="84">
        <f t="shared" si="65"/>
        <v>0</v>
      </c>
      <c r="L293" s="84">
        <f t="shared" si="65"/>
        <v>8341</v>
      </c>
      <c r="M293" s="84">
        <f>SUM(M294:M296)</f>
        <v>0</v>
      </c>
      <c r="N293" s="84">
        <f>SUM(N294:N296)</f>
        <v>0</v>
      </c>
      <c r="O293" s="84"/>
      <c r="P293" s="58">
        <f>SUM(P294:P296)</f>
        <v>88542</v>
      </c>
      <c r="Q293" s="84">
        <f>SUM(Q294:Q296)</f>
        <v>4358</v>
      </c>
      <c r="R293" s="149">
        <f>SUM(R294:R296)</f>
        <v>92900</v>
      </c>
      <c r="S293" s="305"/>
    </row>
    <row r="294" spans="2:19" s="73" customFormat="1" ht="24.75" customHeight="1">
      <c r="B294" s="39"/>
      <c r="C294" s="27"/>
      <c r="D294" s="44">
        <v>3110</v>
      </c>
      <c r="E294" s="45" t="s">
        <v>210</v>
      </c>
      <c r="F294" s="89">
        <v>61000</v>
      </c>
      <c r="G294" s="91"/>
      <c r="H294" s="91"/>
      <c r="I294" s="91"/>
      <c r="J294" s="91">
        <v>12201</v>
      </c>
      <c r="K294" s="91"/>
      <c r="L294" s="91">
        <v>8341</v>
      </c>
      <c r="M294" s="91"/>
      <c r="N294" s="91"/>
      <c r="O294" s="91"/>
      <c r="P294" s="56">
        <f>F294+G294+H294+I294+J294+K294+L294+M294+N294+O294</f>
        <v>81542</v>
      </c>
      <c r="Q294" s="91">
        <v>4358</v>
      </c>
      <c r="R294" s="306">
        <f t="shared" si="59"/>
        <v>85900</v>
      </c>
      <c r="S294" s="253" t="s">
        <v>309</v>
      </c>
    </row>
    <row r="295" spans="2:19" s="73" customFormat="1" ht="12.75">
      <c r="B295" s="39"/>
      <c r="C295" s="27"/>
      <c r="D295" s="44">
        <v>4210</v>
      </c>
      <c r="E295" s="45" t="s">
        <v>29</v>
      </c>
      <c r="F295" s="89">
        <v>5000</v>
      </c>
      <c r="G295" s="91"/>
      <c r="H295" s="91"/>
      <c r="I295" s="91"/>
      <c r="J295" s="91"/>
      <c r="K295" s="91"/>
      <c r="L295" s="91"/>
      <c r="M295" s="91"/>
      <c r="N295" s="91"/>
      <c r="O295" s="91"/>
      <c r="P295" s="56">
        <f>F295+G295+H295+I295+J295+K295+L295+M295+N295+O295</f>
        <v>5000</v>
      </c>
      <c r="Q295" s="91"/>
      <c r="R295" s="306">
        <f t="shared" si="59"/>
        <v>5000</v>
      </c>
      <c r="S295" s="307"/>
    </row>
    <row r="296" spans="2:19" s="73" customFormat="1" ht="16.5" customHeight="1">
      <c r="B296" s="39"/>
      <c r="C296" s="27"/>
      <c r="D296" s="44">
        <v>4300</v>
      </c>
      <c r="E296" s="45" t="s">
        <v>31</v>
      </c>
      <c r="F296" s="89">
        <v>2000</v>
      </c>
      <c r="G296" s="91"/>
      <c r="H296" s="91"/>
      <c r="I296" s="91"/>
      <c r="J296" s="91"/>
      <c r="K296" s="91"/>
      <c r="L296" s="91"/>
      <c r="M296" s="91"/>
      <c r="N296" s="91"/>
      <c r="O296" s="91"/>
      <c r="P296" s="56">
        <f>F296+G296+H296+I296+J296+K296+L296+M296+N296+O296</f>
        <v>2000</v>
      </c>
      <c r="Q296" s="91"/>
      <c r="R296" s="306">
        <f t="shared" si="59"/>
        <v>2000</v>
      </c>
      <c r="S296" s="307"/>
    </row>
    <row r="297" spans="2:19" s="73" customFormat="1" ht="12.75">
      <c r="B297" s="47">
        <v>854</v>
      </c>
      <c r="C297" s="48"/>
      <c r="D297" s="48"/>
      <c r="E297" s="49" t="s">
        <v>267</v>
      </c>
      <c r="F297" s="92">
        <f>F298</f>
        <v>23000</v>
      </c>
      <c r="G297" s="93">
        <f aca="true" t="shared" si="66" ref="G297:R298">G298</f>
        <v>0</v>
      </c>
      <c r="H297" s="93">
        <f t="shared" si="66"/>
        <v>0</v>
      </c>
      <c r="I297" s="93">
        <f t="shared" si="66"/>
        <v>0</v>
      </c>
      <c r="J297" s="93">
        <f t="shared" si="66"/>
        <v>22419</v>
      </c>
      <c r="K297" s="93">
        <f t="shared" si="66"/>
        <v>0</v>
      </c>
      <c r="L297" s="93">
        <f t="shared" si="66"/>
        <v>0</v>
      </c>
      <c r="M297" s="93">
        <f t="shared" si="66"/>
        <v>65409</v>
      </c>
      <c r="N297" s="93">
        <f t="shared" si="66"/>
        <v>0</v>
      </c>
      <c r="O297" s="93"/>
      <c r="P297" s="92">
        <f t="shared" si="66"/>
        <v>110828</v>
      </c>
      <c r="Q297" s="93">
        <f t="shared" si="66"/>
        <v>39929</v>
      </c>
      <c r="R297" s="92">
        <f t="shared" si="66"/>
        <v>150757</v>
      </c>
      <c r="S297" s="312"/>
    </row>
    <row r="298" spans="2:19" s="73" customFormat="1" ht="12.75">
      <c r="B298" s="39"/>
      <c r="C298" s="27">
        <v>85415</v>
      </c>
      <c r="D298" s="320"/>
      <c r="E298" s="321" t="s">
        <v>268</v>
      </c>
      <c r="F298" s="83">
        <f>F299</f>
        <v>23000</v>
      </c>
      <c r="G298" s="84">
        <f t="shared" si="66"/>
        <v>0</v>
      </c>
      <c r="H298" s="84">
        <f t="shared" si="66"/>
        <v>0</v>
      </c>
      <c r="I298" s="84">
        <f t="shared" si="66"/>
        <v>0</v>
      </c>
      <c r="J298" s="84">
        <f t="shared" si="66"/>
        <v>22419</v>
      </c>
      <c r="K298" s="84">
        <f t="shared" si="66"/>
        <v>0</v>
      </c>
      <c r="L298" s="84">
        <f t="shared" si="66"/>
        <v>0</v>
      </c>
      <c r="M298" s="84">
        <f t="shared" si="66"/>
        <v>65409</v>
      </c>
      <c r="N298" s="84">
        <f t="shared" si="66"/>
        <v>0</v>
      </c>
      <c r="O298" s="84"/>
      <c r="P298" s="58">
        <f>P299</f>
        <v>110828</v>
      </c>
      <c r="Q298" s="84">
        <f t="shared" si="66"/>
        <v>39929</v>
      </c>
      <c r="R298" s="149">
        <f t="shared" si="66"/>
        <v>150757</v>
      </c>
      <c r="S298" s="305"/>
    </row>
    <row r="299" spans="2:19" s="73" customFormat="1" ht="100.5" customHeight="1">
      <c r="B299" s="39"/>
      <c r="C299" s="27"/>
      <c r="D299" s="44">
        <v>3260</v>
      </c>
      <c r="E299" s="45" t="s">
        <v>302</v>
      </c>
      <c r="F299" s="89">
        <v>23000</v>
      </c>
      <c r="G299" s="91"/>
      <c r="H299" s="91"/>
      <c r="I299" s="91"/>
      <c r="J299" s="91">
        <f>22419</f>
        <v>22419</v>
      </c>
      <c r="K299" s="91"/>
      <c r="L299" s="91"/>
      <c r="M299" s="91">
        <f>9409+56000</f>
        <v>65409</v>
      </c>
      <c r="N299" s="91"/>
      <c r="O299" s="91"/>
      <c r="P299" s="56">
        <f>F299+G299+H299+I299+J299+K299+L299+M299+N299+O299</f>
        <v>110828</v>
      </c>
      <c r="Q299" s="91">
        <f>523+287+2691+12428+24000</f>
        <v>39929</v>
      </c>
      <c r="R299" s="306">
        <f>P299+Q299</f>
        <v>150757</v>
      </c>
      <c r="S299" s="259" t="s">
        <v>310</v>
      </c>
    </row>
    <row r="300" spans="2:19" s="73" customFormat="1" ht="13.5" thickBot="1">
      <c r="B300" s="322"/>
      <c r="C300" s="323"/>
      <c r="D300" s="323"/>
      <c r="E300" s="324" t="s">
        <v>69</v>
      </c>
      <c r="F300" s="325" t="e">
        <f>F7+F23+F31+F47+#REF!+F100+F122+F125+F238+F254+#REF!+#REF!+#REF!+F39+#REF!+#REF!+#REF!+F297</f>
        <v>#REF!</v>
      </c>
      <c r="G300" s="326" t="e">
        <f>G7+G23+G31+G47+#REF!+G100+G122+G125+G238+G254+#REF!+#REF!+#REF!+G39+#REF!+#REF!+#REF!+G297</f>
        <v>#REF!</v>
      </c>
      <c r="H300" s="327" t="e">
        <f>H7+H23+H31+H47+#REF!+H100+H122+H125+H238+H254+#REF!+#REF!+#REF!+H39+#REF!+#REF!+#REF!+H297</f>
        <v>#REF!</v>
      </c>
      <c r="I300" s="327" t="e">
        <f>I7+I23+I31+I47+#REF!+I100+I122+I125+I238+I254+#REF!+#REF!+#REF!+I39+#REF!+#REF!+#REF!+I297</f>
        <v>#REF!</v>
      </c>
      <c r="J300" s="327" t="e">
        <f>J7+J23+J31+J47+#REF!+J100+J122+J125+J238+J254+#REF!+#REF!+#REF!+J39+#REF!+#REF!+#REF!+J297</f>
        <v>#REF!</v>
      </c>
      <c r="K300" s="327" t="e">
        <f>K7+K23+K31+K47+#REF!+K100+K122+K125+K238+K254+#REF!+#REF!+#REF!+K39+#REF!+#REF!+#REF!+K297</f>
        <v>#REF!</v>
      </c>
      <c r="L300" s="326" t="e">
        <f>L7+L23+L31+L47+#REF!+L100+L122+L125+L238+L254+#REF!+#REF!+#REF!+L39+#REF!+#REF!+#REF!+L297</f>
        <v>#REF!</v>
      </c>
      <c r="M300" s="327" t="e">
        <f>M7+M23+M31+M47+#REF!+M100+M122+M125+M238+M254+#REF!+#REF!+#REF!+M39+#REF!+#REF!+#REF!+M297</f>
        <v>#REF!</v>
      </c>
      <c r="N300" s="326" t="e">
        <f>N7+N23+N31+N47+#REF!+N100+N122+N125+N238+N254+#REF!+#REF!+#REF!+N39+#REF!+#REF!+#REF!+N297</f>
        <v>#REF!</v>
      </c>
      <c r="O300" s="327"/>
      <c r="P300" s="327"/>
      <c r="Q300" s="327">
        <f>Q7+Q23+Q31+Q39+Q47+Q100+Q122+Q125+Q238+Q254+Q297</f>
        <v>449701</v>
      </c>
      <c r="R300" s="327"/>
      <c r="S300" s="328"/>
    </row>
    <row r="301" spans="6:19" s="73" customFormat="1" ht="12.75">
      <c r="F301" s="120"/>
      <c r="G301" s="121"/>
      <c r="H301" s="120"/>
      <c r="I301" s="120"/>
      <c r="J301" s="120"/>
      <c r="K301" s="120"/>
      <c r="L301" s="120"/>
      <c r="M301" s="121"/>
      <c r="N301" s="121"/>
      <c r="O301" s="121"/>
      <c r="P301" s="126"/>
      <c r="Q301" s="121"/>
      <c r="R301" s="126"/>
      <c r="S301" s="329"/>
    </row>
    <row r="302" spans="6:18" ht="12.75">
      <c r="F302" s="330">
        <v>-66586.64</v>
      </c>
      <c r="R302" s="289"/>
    </row>
    <row r="303" spans="6:18" ht="12.75">
      <c r="F303" s="330">
        <f>SUM(F302:F302)</f>
        <v>-66586.64</v>
      </c>
      <c r="R303" s="289"/>
    </row>
    <row r="304" ht="12.75">
      <c r="R304" s="289"/>
    </row>
    <row r="305" ht="12.75">
      <c r="R305" s="289"/>
    </row>
    <row r="306" ht="12.75">
      <c r="R306" s="289"/>
    </row>
    <row r="307" ht="12.75">
      <c r="R307" s="289"/>
    </row>
    <row r="308" ht="12.75">
      <c r="R308" s="289"/>
    </row>
    <row r="309" ht="12.75">
      <c r="R309" s="289"/>
    </row>
    <row r="310" ht="12.75">
      <c r="R310" s="289"/>
    </row>
    <row r="311" ht="12.75">
      <c r="R311" s="289"/>
    </row>
    <row r="312" ht="12.75">
      <c r="R312" s="289"/>
    </row>
    <row r="313" ht="12.75">
      <c r="R313" s="289"/>
    </row>
    <row r="314" ht="12.75">
      <c r="R314" s="289"/>
    </row>
    <row r="315" ht="12.75">
      <c r="R315" s="289"/>
    </row>
    <row r="316" ht="12.75">
      <c r="R316" s="289"/>
    </row>
    <row r="317" ht="12.75">
      <c r="R317" s="289"/>
    </row>
    <row r="318" ht="12.75">
      <c r="R318" s="289"/>
    </row>
    <row r="319" ht="12.75">
      <c r="R319" s="289"/>
    </row>
    <row r="320" ht="12.75">
      <c r="R320" s="289"/>
    </row>
    <row r="321" ht="12.75">
      <c r="R321" s="289"/>
    </row>
    <row r="322" ht="12.75">
      <c r="R322" s="289"/>
    </row>
    <row r="323" ht="12.75">
      <c r="R323" s="289"/>
    </row>
    <row r="324" ht="12.75">
      <c r="R324" s="289"/>
    </row>
    <row r="325" ht="12.75">
      <c r="R325" s="289"/>
    </row>
    <row r="326" ht="12.75">
      <c r="R326" s="289"/>
    </row>
    <row r="327" ht="12.75">
      <c r="R327" s="289"/>
    </row>
    <row r="328" ht="12.75">
      <c r="R328" s="289"/>
    </row>
    <row r="329" ht="12.75">
      <c r="R329" s="289"/>
    </row>
    <row r="330" ht="12.75">
      <c r="R330" s="289"/>
    </row>
    <row r="331" ht="12.75">
      <c r="R331" s="289"/>
    </row>
    <row r="332" ht="12.75">
      <c r="R332" s="289"/>
    </row>
    <row r="333" ht="12.75">
      <c r="R333" s="289"/>
    </row>
    <row r="334" ht="12.75">
      <c r="R334" s="289"/>
    </row>
    <row r="335" ht="12.75">
      <c r="R335" s="289"/>
    </row>
    <row r="336" ht="12.75">
      <c r="R336" s="289"/>
    </row>
    <row r="337" ht="12.75">
      <c r="R337" s="289"/>
    </row>
    <row r="338" ht="12.75">
      <c r="R338" s="289"/>
    </row>
    <row r="339" ht="12.75">
      <c r="R339" s="289"/>
    </row>
    <row r="340" ht="12.75">
      <c r="R340" s="289"/>
    </row>
    <row r="341" ht="12.75">
      <c r="R341" s="289"/>
    </row>
    <row r="342" ht="12.75">
      <c r="R342" s="289"/>
    </row>
    <row r="343" ht="12.75">
      <c r="R343" s="289"/>
    </row>
    <row r="344" ht="12.75">
      <c r="R344" s="289"/>
    </row>
    <row r="345" ht="12.75">
      <c r="R345" s="289"/>
    </row>
    <row r="346" ht="12.75">
      <c r="R346" s="289"/>
    </row>
    <row r="347" ht="12.75">
      <c r="R347" s="289"/>
    </row>
    <row r="348" ht="12.75">
      <c r="R348" s="289"/>
    </row>
    <row r="349" ht="12.75">
      <c r="R349" s="289"/>
    </row>
    <row r="350" ht="12.75">
      <c r="R350" s="289"/>
    </row>
    <row r="351" ht="12.75">
      <c r="R351" s="289"/>
    </row>
    <row r="352" ht="12.75">
      <c r="R352" s="289"/>
    </row>
    <row r="353" ht="12.75">
      <c r="R353" s="289"/>
    </row>
    <row r="354" ht="12.75">
      <c r="R354" s="289"/>
    </row>
    <row r="355" ht="12.75">
      <c r="R355" s="289"/>
    </row>
    <row r="356" ht="12.75">
      <c r="R356" s="289"/>
    </row>
    <row r="357" ht="12.75">
      <c r="R357" s="289"/>
    </row>
  </sheetData>
  <mergeCells count="10">
    <mergeCell ref="F3:F4"/>
    <mergeCell ref="B3:B4"/>
    <mergeCell ref="C3:C4"/>
    <mergeCell ref="D3:D4"/>
    <mergeCell ref="E3:E4"/>
    <mergeCell ref="S20:S22"/>
    <mergeCell ref="P3:P4"/>
    <mergeCell ref="Q3:Q4"/>
    <mergeCell ref="R3:R4"/>
    <mergeCell ref="S3:S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2"/>
  <sheetViews>
    <sheetView workbookViewId="0" topLeftCell="A40">
      <selection activeCell="E10" sqref="E10:E12"/>
    </sheetView>
  </sheetViews>
  <sheetFormatPr defaultColWidth="9.140625" defaultRowHeight="12.75"/>
  <cols>
    <col min="1" max="1" width="4.7109375" style="36" customWidth="1"/>
    <col min="2" max="2" width="6.8515625" style="36" customWidth="1"/>
    <col min="3" max="3" width="7.8515625" style="36" customWidth="1"/>
    <col min="4" max="4" width="31.7109375" style="36" customWidth="1"/>
    <col min="5" max="5" width="14.8515625" style="5" customWidth="1"/>
    <col min="6" max="9" width="10.8515625" style="161" hidden="1" customWidth="1"/>
    <col min="10" max="21" width="15.57421875" style="36" hidden="1" customWidth="1"/>
    <col min="22" max="22" width="7.8515625" style="36" customWidth="1"/>
    <col min="23" max="23" width="6.140625" style="36" customWidth="1"/>
    <col min="24" max="24" width="24.421875" style="36" customWidth="1"/>
    <col min="25" max="25" width="19.421875" style="36" customWidth="1"/>
    <col min="26" max="16384" width="9.140625" style="36" customWidth="1"/>
  </cols>
  <sheetData>
    <row r="1" spans="6:25" ht="12.75">
      <c r="F1" s="159"/>
      <c r="G1" s="159"/>
      <c r="H1" s="159"/>
      <c r="I1" s="159"/>
      <c r="J1" s="160"/>
      <c r="X1" s="476" t="s">
        <v>311</v>
      </c>
      <c r="Y1" s="476"/>
    </row>
    <row r="2" spans="6:25" ht="12.75">
      <c r="F2" s="159"/>
      <c r="G2" s="159"/>
      <c r="H2" s="159"/>
      <c r="I2" s="159"/>
      <c r="J2" s="160"/>
      <c r="X2" s="476"/>
      <c r="Y2" s="476"/>
    </row>
    <row r="3" spans="1:25" ht="15.75">
      <c r="A3" s="477" t="s">
        <v>218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</row>
    <row r="4" spans="1:25" ht="15.75">
      <c r="A4" s="477" t="s">
        <v>219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</row>
    <row r="5" spans="1:22" ht="13.5" thickBot="1">
      <c r="A5" s="33"/>
      <c r="B5" s="35"/>
      <c r="C5" s="35"/>
      <c r="V5" s="34"/>
    </row>
    <row r="6" spans="1:25" s="144" customFormat="1" ht="16.5" thickBot="1">
      <c r="A6" s="162" t="s">
        <v>0</v>
      </c>
      <c r="B6" s="162" t="s">
        <v>1</v>
      </c>
      <c r="C6" s="162" t="s">
        <v>2</v>
      </c>
      <c r="D6" s="162" t="s">
        <v>3</v>
      </c>
      <c r="E6" s="162" t="s">
        <v>220</v>
      </c>
      <c r="F6" s="163" t="s">
        <v>5</v>
      </c>
      <c r="G6" s="164"/>
      <c r="H6" s="165"/>
      <c r="I6" s="165"/>
      <c r="J6" s="162" t="s">
        <v>221</v>
      </c>
      <c r="K6" s="166" t="s">
        <v>222</v>
      </c>
      <c r="L6" s="166" t="s">
        <v>223</v>
      </c>
      <c r="M6" s="166" t="s">
        <v>224</v>
      </c>
      <c r="N6" s="166" t="s">
        <v>225</v>
      </c>
      <c r="O6" s="166" t="s">
        <v>226</v>
      </c>
      <c r="P6" s="166" t="s">
        <v>227</v>
      </c>
      <c r="Q6" s="166" t="s">
        <v>228</v>
      </c>
      <c r="R6" s="166" t="s">
        <v>229</v>
      </c>
      <c r="S6" s="166" t="s">
        <v>230</v>
      </c>
      <c r="T6" s="166" t="s">
        <v>231</v>
      </c>
      <c r="U6" s="166" t="s">
        <v>232</v>
      </c>
      <c r="V6" s="162" t="s">
        <v>1</v>
      </c>
      <c r="W6" s="162" t="s">
        <v>2</v>
      </c>
      <c r="X6" s="162" t="s">
        <v>3</v>
      </c>
      <c r="Y6" s="167" t="s">
        <v>233</v>
      </c>
    </row>
    <row r="7" spans="1:25" s="3" customFormat="1" ht="12.75">
      <c r="A7" s="168"/>
      <c r="B7" s="168"/>
      <c r="C7" s="168"/>
      <c r="D7" s="168"/>
      <c r="E7" s="169"/>
      <c r="F7" s="170"/>
      <c r="G7" s="170"/>
      <c r="H7" s="170"/>
      <c r="I7" s="170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9"/>
      <c r="X7" s="169"/>
      <c r="Y7" s="169"/>
    </row>
    <row r="8" spans="1:25" s="3" customFormat="1" ht="12.75">
      <c r="A8" s="132" t="s">
        <v>27</v>
      </c>
      <c r="B8" s="133"/>
      <c r="C8" s="133"/>
      <c r="D8" s="134" t="s">
        <v>28</v>
      </c>
      <c r="E8" s="171">
        <f>E9</f>
        <v>259033</v>
      </c>
      <c r="F8" s="172"/>
      <c r="G8" s="172"/>
      <c r="H8" s="172"/>
      <c r="I8" s="172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4"/>
      <c r="X8" s="174"/>
      <c r="Y8" s="175">
        <f>Y9</f>
        <v>259033</v>
      </c>
    </row>
    <row r="9" spans="1:25" s="3" customFormat="1" ht="12.75">
      <c r="A9" s="176"/>
      <c r="B9" s="64" t="s">
        <v>35</v>
      </c>
      <c r="C9" s="12"/>
      <c r="D9" s="13" t="s">
        <v>21</v>
      </c>
      <c r="E9" s="41">
        <f>E10</f>
        <v>259033</v>
      </c>
      <c r="F9" s="177"/>
      <c r="G9" s="177"/>
      <c r="H9" s="177"/>
      <c r="I9" s="177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64" t="s">
        <v>35</v>
      </c>
      <c r="W9" s="12"/>
      <c r="X9" s="13" t="s">
        <v>21</v>
      </c>
      <c r="Y9" s="178">
        <f>SUM(Y10:Y12)</f>
        <v>259033</v>
      </c>
    </row>
    <row r="10" spans="1:25" s="3" customFormat="1" ht="26.25" customHeight="1">
      <c r="A10" s="176"/>
      <c r="B10" s="176"/>
      <c r="C10" s="467">
        <v>2010</v>
      </c>
      <c r="D10" s="470" t="s">
        <v>13</v>
      </c>
      <c r="E10" s="478">
        <f>157657+101376</f>
        <v>259033</v>
      </c>
      <c r="F10" s="177"/>
      <c r="G10" s="177"/>
      <c r="H10" s="177"/>
      <c r="I10" s="177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44">
        <v>4210</v>
      </c>
      <c r="X10" s="45" t="s">
        <v>29</v>
      </c>
      <c r="Y10" s="66">
        <f>1091+988</f>
        <v>2079</v>
      </c>
    </row>
    <row r="11" spans="1:25" s="3" customFormat="1" ht="17.25" customHeight="1">
      <c r="A11" s="176"/>
      <c r="B11" s="176"/>
      <c r="C11" s="468"/>
      <c r="D11" s="471"/>
      <c r="E11" s="479"/>
      <c r="F11" s="177"/>
      <c r="G11" s="177"/>
      <c r="H11" s="177"/>
      <c r="I11" s="17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44">
        <v>4300</v>
      </c>
      <c r="X11" s="45" t="s">
        <v>31</v>
      </c>
      <c r="Y11" s="66">
        <f>2000+1000</f>
        <v>3000</v>
      </c>
    </row>
    <row r="12" spans="1:25" s="3" customFormat="1" ht="12.75">
      <c r="A12" s="176"/>
      <c r="B12" s="176"/>
      <c r="C12" s="469"/>
      <c r="D12" s="472"/>
      <c r="E12" s="480"/>
      <c r="F12" s="177"/>
      <c r="G12" s="177"/>
      <c r="H12" s="177"/>
      <c r="I12" s="177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5">
        <v>4430</v>
      </c>
      <c r="X12" s="17" t="s">
        <v>36</v>
      </c>
      <c r="Y12" s="66">
        <f>154566+99388</f>
        <v>253954</v>
      </c>
    </row>
    <row r="13" spans="1:25" s="7" customFormat="1" ht="12.75">
      <c r="A13" s="9">
        <v>750</v>
      </c>
      <c r="B13" s="9"/>
      <c r="C13" s="9"/>
      <c r="D13" s="10" t="s">
        <v>12</v>
      </c>
      <c r="E13" s="135">
        <f>E14</f>
        <v>56100</v>
      </c>
      <c r="F13" s="135">
        <f>F14</f>
        <v>0</v>
      </c>
      <c r="G13" s="135">
        <f>G14</f>
        <v>0</v>
      </c>
      <c r="H13" s="135">
        <f>H14</f>
        <v>0</v>
      </c>
      <c r="I13" s="179" t="e">
        <f>I14+#REF!+#REF!</f>
        <v>#REF!</v>
      </c>
      <c r="J13" s="135">
        <f aca="true" t="shared" si="0" ref="J13:U13">J14</f>
        <v>2983</v>
      </c>
      <c r="K13" s="135">
        <f t="shared" si="0"/>
        <v>3596</v>
      </c>
      <c r="L13" s="135">
        <f t="shared" si="0"/>
        <v>2893</v>
      </c>
      <c r="M13" s="135">
        <f t="shared" si="0"/>
        <v>0</v>
      </c>
      <c r="N13" s="135">
        <f t="shared" si="0"/>
        <v>3200</v>
      </c>
      <c r="O13" s="135">
        <f t="shared" si="0"/>
        <v>0</v>
      </c>
      <c r="P13" s="135">
        <f t="shared" si="0"/>
        <v>0</v>
      </c>
      <c r="Q13" s="135">
        <f t="shared" si="0"/>
        <v>0</v>
      </c>
      <c r="R13" s="135">
        <f t="shared" si="0"/>
        <v>0</v>
      </c>
      <c r="S13" s="135">
        <f t="shared" si="0"/>
        <v>0</v>
      </c>
      <c r="T13" s="135">
        <f t="shared" si="0"/>
        <v>0</v>
      </c>
      <c r="U13" s="135">
        <f t="shared" si="0"/>
        <v>0</v>
      </c>
      <c r="V13" s="180"/>
      <c r="W13" s="181"/>
      <c r="X13" s="181"/>
      <c r="Y13" s="180">
        <f>Y14</f>
        <v>56100</v>
      </c>
    </row>
    <row r="14" spans="1:25" s="7" customFormat="1" ht="12.75">
      <c r="A14" s="451">
        <v>75011</v>
      </c>
      <c r="B14" s="452"/>
      <c r="C14" s="12"/>
      <c r="D14" s="13" t="s">
        <v>177</v>
      </c>
      <c r="E14" s="182">
        <f>SUM(E15:E15)</f>
        <v>56100</v>
      </c>
      <c r="F14" s="183">
        <f aca="true" t="shared" si="1" ref="F14:U14">SUM(F15:F15)</f>
        <v>0</v>
      </c>
      <c r="G14" s="184">
        <f t="shared" si="1"/>
        <v>0</v>
      </c>
      <c r="H14" s="184">
        <f t="shared" si="1"/>
        <v>0</v>
      </c>
      <c r="I14" s="184">
        <f t="shared" si="1"/>
        <v>0</v>
      </c>
      <c r="J14" s="185">
        <f t="shared" si="1"/>
        <v>2983</v>
      </c>
      <c r="K14" s="185">
        <f t="shared" si="1"/>
        <v>3596</v>
      </c>
      <c r="L14" s="185">
        <f t="shared" si="1"/>
        <v>2893</v>
      </c>
      <c r="M14" s="185">
        <f t="shared" si="1"/>
        <v>0</v>
      </c>
      <c r="N14" s="185">
        <f t="shared" si="1"/>
        <v>3200</v>
      </c>
      <c r="O14" s="185">
        <f t="shared" si="1"/>
        <v>0</v>
      </c>
      <c r="P14" s="185">
        <f t="shared" si="1"/>
        <v>0</v>
      </c>
      <c r="Q14" s="185">
        <f t="shared" si="1"/>
        <v>0</v>
      </c>
      <c r="R14" s="185">
        <f t="shared" si="1"/>
        <v>0</v>
      </c>
      <c r="S14" s="185">
        <f t="shared" si="1"/>
        <v>0</v>
      </c>
      <c r="T14" s="185">
        <f t="shared" si="1"/>
        <v>0</v>
      </c>
      <c r="U14" s="185">
        <f t="shared" si="1"/>
        <v>0</v>
      </c>
      <c r="V14" s="12">
        <v>75011</v>
      </c>
      <c r="W14" s="12"/>
      <c r="X14" s="13" t="s">
        <v>177</v>
      </c>
      <c r="Y14" s="186">
        <f>Y15+Y16</f>
        <v>56100</v>
      </c>
    </row>
    <row r="15" spans="1:25" s="7" customFormat="1" ht="25.5">
      <c r="A15" s="481"/>
      <c r="B15" s="482"/>
      <c r="C15" s="467">
        <v>2010</v>
      </c>
      <c r="D15" s="470" t="s">
        <v>13</v>
      </c>
      <c r="E15" s="473">
        <v>56100</v>
      </c>
      <c r="F15" s="187"/>
      <c r="G15" s="188"/>
      <c r="H15" s="188"/>
      <c r="I15" s="188"/>
      <c r="J15" s="189">
        <v>2983</v>
      </c>
      <c r="K15" s="189">
        <v>3596</v>
      </c>
      <c r="L15" s="189">
        <v>2893</v>
      </c>
      <c r="M15" s="189"/>
      <c r="N15" s="189">
        <v>3200</v>
      </c>
      <c r="O15" s="189"/>
      <c r="P15" s="189"/>
      <c r="Q15" s="189"/>
      <c r="R15" s="189"/>
      <c r="S15" s="189"/>
      <c r="T15" s="189"/>
      <c r="U15" s="189"/>
      <c r="V15" s="457"/>
      <c r="W15" s="44">
        <v>4010</v>
      </c>
      <c r="X15" s="45" t="s">
        <v>47</v>
      </c>
      <c r="Y15" s="146">
        <v>47855</v>
      </c>
    </row>
    <row r="16" spans="1:25" s="7" customFormat="1" ht="25.5">
      <c r="A16" s="483"/>
      <c r="B16" s="484"/>
      <c r="C16" s="469"/>
      <c r="D16" s="472"/>
      <c r="E16" s="475"/>
      <c r="F16" s="187"/>
      <c r="G16" s="188"/>
      <c r="H16" s="188"/>
      <c r="I16" s="188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458"/>
      <c r="W16" s="44">
        <v>4110</v>
      </c>
      <c r="X16" s="45" t="s">
        <v>48</v>
      </c>
      <c r="Y16" s="146">
        <v>8245</v>
      </c>
    </row>
    <row r="17" spans="1:25" s="7" customFormat="1" ht="38.25">
      <c r="A17" s="9">
        <v>751</v>
      </c>
      <c r="B17" s="139"/>
      <c r="C17" s="139"/>
      <c r="D17" s="10" t="s">
        <v>131</v>
      </c>
      <c r="E17" s="192">
        <f>E18+E20</f>
        <v>12060</v>
      </c>
      <c r="F17" s="187"/>
      <c r="G17" s="188"/>
      <c r="H17" s="188"/>
      <c r="I17" s="188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93"/>
      <c r="W17" s="65"/>
      <c r="X17" s="194"/>
      <c r="Y17" s="195">
        <f>Y18+Y20</f>
        <v>12060</v>
      </c>
    </row>
    <row r="18" spans="1:25" s="7" customFormat="1" ht="38.25">
      <c r="A18" s="459">
        <v>75101</v>
      </c>
      <c r="B18" s="460"/>
      <c r="C18" s="22"/>
      <c r="D18" s="140" t="s">
        <v>132</v>
      </c>
      <c r="E18" s="196">
        <f>E19</f>
        <v>1095</v>
      </c>
      <c r="F18" s="187"/>
      <c r="G18" s="188"/>
      <c r="H18" s="188"/>
      <c r="I18" s="188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22">
        <v>75101</v>
      </c>
      <c r="W18" s="44"/>
      <c r="X18" s="140" t="s">
        <v>132</v>
      </c>
      <c r="Y18" s="197">
        <f>Y19</f>
        <v>1095</v>
      </c>
    </row>
    <row r="19" spans="1:25" s="7" customFormat="1" ht="59.25" customHeight="1">
      <c r="A19" s="453"/>
      <c r="B19" s="454"/>
      <c r="C19" s="15">
        <v>2010</v>
      </c>
      <c r="D19" s="17" t="s">
        <v>13</v>
      </c>
      <c r="E19" s="191">
        <v>1095</v>
      </c>
      <c r="F19" s="187"/>
      <c r="G19" s="188"/>
      <c r="H19" s="188"/>
      <c r="I19" s="188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44">
        <v>4300</v>
      </c>
      <c r="X19" s="45" t="s">
        <v>31</v>
      </c>
      <c r="Y19" s="191">
        <v>1095</v>
      </c>
    </row>
    <row r="20" spans="1:25" s="7" customFormat="1" ht="12.75">
      <c r="A20" s="485">
        <v>75108</v>
      </c>
      <c r="B20" s="486"/>
      <c r="C20" s="15"/>
      <c r="D20" s="31" t="s">
        <v>133</v>
      </c>
      <c r="E20" s="196">
        <f>E21</f>
        <v>10965</v>
      </c>
      <c r="F20" s="187"/>
      <c r="G20" s="188"/>
      <c r="H20" s="188"/>
      <c r="I20" s="188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42">
        <v>75108</v>
      </c>
      <c r="W20" s="263"/>
      <c r="X20" s="31" t="s">
        <v>133</v>
      </c>
      <c r="Y20" s="332">
        <f>SUM(Y21:Y25)</f>
        <v>10965</v>
      </c>
    </row>
    <row r="21" spans="1:25" s="7" customFormat="1" ht="25.5" customHeight="1">
      <c r="A21" s="461"/>
      <c r="B21" s="462"/>
      <c r="C21" s="467">
        <v>2010</v>
      </c>
      <c r="D21" s="470" t="s">
        <v>13</v>
      </c>
      <c r="E21" s="473">
        <v>10965</v>
      </c>
      <c r="F21" s="187"/>
      <c r="G21" s="188"/>
      <c r="H21" s="188"/>
      <c r="I21" s="188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44">
        <v>3030</v>
      </c>
      <c r="X21" s="45" t="s">
        <v>46</v>
      </c>
      <c r="Y21" s="191">
        <v>4950</v>
      </c>
    </row>
    <row r="22" spans="1:25" s="7" customFormat="1" ht="14.25" customHeight="1">
      <c r="A22" s="463"/>
      <c r="B22" s="464"/>
      <c r="C22" s="468"/>
      <c r="D22" s="471"/>
      <c r="E22" s="474"/>
      <c r="F22" s="187"/>
      <c r="G22" s="188"/>
      <c r="H22" s="188"/>
      <c r="I22" s="188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44">
        <v>4170</v>
      </c>
      <c r="X22" s="45" t="s">
        <v>53</v>
      </c>
      <c r="Y22" s="191">
        <v>4041</v>
      </c>
    </row>
    <row r="23" spans="1:25" s="7" customFormat="1" ht="25.5">
      <c r="A23" s="463"/>
      <c r="B23" s="464"/>
      <c r="C23" s="468"/>
      <c r="D23" s="471"/>
      <c r="E23" s="474"/>
      <c r="F23" s="187"/>
      <c r="G23" s="188"/>
      <c r="H23" s="188"/>
      <c r="I23" s="188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44">
        <v>4210</v>
      </c>
      <c r="X23" s="45" t="s">
        <v>29</v>
      </c>
      <c r="Y23" s="191">
        <v>783</v>
      </c>
    </row>
    <row r="24" spans="1:25" s="7" customFormat="1" ht="12.75">
      <c r="A24" s="463"/>
      <c r="B24" s="464"/>
      <c r="C24" s="468"/>
      <c r="D24" s="471"/>
      <c r="E24" s="474"/>
      <c r="F24" s="187"/>
      <c r="G24" s="188"/>
      <c r="H24" s="188"/>
      <c r="I24" s="188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44">
        <v>4300</v>
      </c>
      <c r="X24" s="45" t="s">
        <v>31</v>
      </c>
      <c r="Y24" s="191">
        <v>721</v>
      </c>
    </row>
    <row r="25" spans="1:25" s="7" customFormat="1" ht="12.75">
      <c r="A25" s="465"/>
      <c r="B25" s="466"/>
      <c r="C25" s="469"/>
      <c r="D25" s="472"/>
      <c r="E25" s="475"/>
      <c r="F25" s="187"/>
      <c r="G25" s="188"/>
      <c r="H25" s="188"/>
      <c r="I25" s="188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44">
        <v>4410</v>
      </c>
      <c r="X25" s="45" t="s">
        <v>50</v>
      </c>
      <c r="Y25" s="191">
        <v>470</v>
      </c>
    </row>
    <row r="26" spans="1:25" s="7" customFormat="1" ht="25.5">
      <c r="A26" s="9">
        <v>754</v>
      </c>
      <c r="B26" s="9"/>
      <c r="C26" s="9"/>
      <c r="D26" s="10" t="s">
        <v>62</v>
      </c>
      <c r="E26" s="135">
        <f aca="true" t="shared" si="2" ref="E26:U26">E27</f>
        <v>2500</v>
      </c>
      <c r="F26" s="179">
        <f t="shared" si="2"/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35">
        <f t="shared" si="2"/>
        <v>0</v>
      </c>
      <c r="K26" s="135">
        <f t="shared" si="2"/>
        <v>0</v>
      </c>
      <c r="L26" s="135">
        <f t="shared" si="2"/>
        <v>0</v>
      </c>
      <c r="M26" s="135">
        <f t="shared" si="2"/>
        <v>200</v>
      </c>
      <c r="N26" s="135">
        <f t="shared" si="2"/>
        <v>0</v>
      </c>
      <c r="O26" s="135">
        <f t="shared" si="2"/>
        <v>0</v>
      </c>
      <c r="P26" s="135">
        <f t="shared" si="2"/>
        <v>0</v>
      </c>
      <c r="Q26" s="135">
        <f t="shared" si="2"/>
        <v>0</v>
      </c>
      <c r="R26" s="135">
        <f t="shared" si="2"/>
        <v>0</v>
      </c>
      <c r="S26" s="135">
        <f t="shared" si="2"/>
        <v>0</v>
      </c>
      <c r="T26" s="135">
        <f t="shared" si="2"/>
        <v>0</v>
      </c>
      <c r="U26" s="135">
        <f t="shared" si="2"/>
        <v>0</v>
      </c>
      <c r="V26" s="180"/>
      <c r="W26" s="181"/>
      <c r="X26" s="181"/>
      <c r="Y26" s="180">
        <f>Y27</f>
        <v>2500</v>
      </c>
    </row>
    <row r="27" spans="1:25" s="7" customFormat="1" ht="12.75">
      <c r="A27" s="451">
        <v>75414</v>
      </c>
      <c r="B27" s="452"/>
      <c r="C27" s="12"/>
      <c r="D27" s="13" t="s">
        <v>65</v>
      </c>
      <c r="E27" s="182">
        <f aca="true" t="shared" si="3" ref="E27:U27">SUM(E28)</f>
        <v>2500</v>
      </c>
      <c r="F27" s="184">
        <f t="shared" si="3"/>
        <v>0</v>
      </c>
      <c r="G27" s="184">
        <f t="shared" si="3"/>
        <v>0</v>
      </c>
      <c r="H27" s="184">
        <f t="shared" si="3"/>
        <v>0</v>
      </c>
      <c r="I27" s="184">
        <f t="shared" si="3"/>
        <v>0</v>
      </c>
      <c r="J27" s="185">
        <f t="shared" si="3"/>
        <v>0</v>
      </c>
      <c r="K27" s="185">
        <f t="shared" si="3"/>
        <v>0</v>
      </c>
      <c r="L27" s="185">
        <f t="shared" si="3"/>
        <v>0</v>
      </c>
      <c r="M27" s="185">
        <f t="shared" si="3"/>
        <v>200</v>
      </c>
      <c r="N27" s="185">
        <f t="shared" si="3"/>
        <v>0</v>
      </c>
      <c r="O27" s="185">
        <f t="shared" si="3"/>
        <v>0</v>
      </c>
      <c r="P27" s="185">
        <f t="shared" si="3"/>
        <v>0</v>
      </c>
      <c r="Q27" s="185">
        <f t="shared" si="3"/>
        <v>0</v>
      </c>
      <c r="R27" s="185">
        <f t="shared" si="3"/>
        <v>0</v>
      </c>
      <c r="S27" s="185">
        <f t="shared" si="3"/>
        <v>0</v>
      </c>
      <c r="T27" s="185">
        <f t="shared" si="3"/>
        <v>0</v>
      </c>
      <c r="U27" s="185">
        <f t="shared" si="3"/>
        <v>0</v>
      </c>
      <c r="V27" s="12">
        <v>75414</v>
      </c>
      <c r="W27" s="12"/>
      <c r="X27" s="13" t="s">
        <v>65</v>
      </c>
      <c r="Y27" s="186">
        <f>Y28</f>
        <v>2500</v>
      </c>
    </row>
    <row r="28" spans="1:25" s="7" customFormat="1" ht="63.75">
      <c r="A28" s="455"/>
      <c r="B28" s="456"/>
      <c r="C28" s="15">
        <v>2010</v>
      </c>
      <c r="D28" s="17" t="s">
        <v>13</v>
      </c>
      <c r="E28" s="146">
        <v>2500</v>
      </c>
      <c r="F28" s="188"/>
      <c r="G28" s="188"/>
      <c r="H28" s="188"/>
      <c r="I28" s="188"/>
      <c r="J28" s="189"/>
      <c r="K28" s="189"/>
      <c r="L28" s="189"/>
      <c r="M28" s="189">
        <v>200</v>
      </c>
      <c r="N28" s="189"/>
      <c r="O28" s="189"/>
      <c r="P28" s="189"/>
      <c r="Q28" s="189"/>
      <c r="R28" s="189"/>
      <c r="S28" s="189"/>
      <c r="T28" s="189"/>
      <c r="U28" s="189"/>
      <c r="V28" s="189"/>
      <c r="W28" s="15">
        <v>4210</v>
      </c>
      <c r="X28" s="17" t="s">
        <v>29</v>
      </c>
      <c r="Y28" s="189">
        <v>2500</v>
      </c>
    </row>
    <row r="29" spans="1:25" s="7" customFormat="1" ht="12.75">
      <c r="A29" s="9">
        <v>852</v>
      </c>
      <c r="B29" s="9"/>
      <c r="C29" s="9"/>
      <c r="D29" s="10" t="s">
        <v>205</v>
      </c>
      <c r="E29" s="135">
        <f>E39+E37+E30</f>
        <v>2026359</v>
      </c>
      <c r="F29" s="179" t="e">
        <f>F39+#REF!+#REF!+#REF!+F37+#REF!+#REF!</f>
        <v>#REF!</v>
      </c>
      <c r="G29" s="179" t="e">
        <f>G39+#REF!+#REF!+#REF!+G37+#REF!+#REF!</f>
        <v>#REF!</v>
      </c>
      <c r="H29" s="179" t="e">
        <f>H39+#REF!+#REF!+#REF!+H37+#REF!+#REF!</f>
        <v>#REF!</v>
      </c>
      <c r="I29" s="179" t="e">
        <f>I39+#REF!+#REF!+#REF!+I37+#REF!+#REF!</f>
        <v>#REF!</v>
      </c>
      <c r="J29" s="135" t="e">
        <f>J39+#REF!+#REF!+#REF!+J37+#REF!+#REF!</f>
        <v>#REF!</v>
      </c>
      <c r="K29" s="135" t="e">
        <f>K39+#REF!+#REF!+#REF!+K37+#REF!+#REF!</f>
        <v>#REF!</v>
      </c>
      <c r="L29" s="135" t="e">
        <f>L39+#REF!+#REF!+#REF!+L37+#REF!+#REF!</f>
        <v>#REF!</v>
      </c>
      <c r="M29" s="135" t="e">
        <f>M39+#REF!+#REF!+#REF!+M37+#REF!+#REF!</f>
        <v>#REF!</v>
      </c>
      <c r="N29" s="135" t="e">
        <f>N39+#REF!+#REF!+#REF!+N37+#REF!+#REF!</f>
        <v>#REF!</v>
      </c>
      <c r="O29" s="135" t="e">
        <f>O39+#REF!+#REF!+#REF!+O37+#REF!+#REF!</f>
        <v>#REF!</v>
      </c>
      <c r="P29" s="135" t="e">
        <f>P39+#REF!+#REF!+#REF!+P37+#REF!+#REF!</f>
        <v>#REF!</v>
      </c>
      <c r="Q29" s="135" t="e">
        <f>Q39+#REF!+#REF!+#REF!+Q37+#REF!+#REF!</f>
        <v>#REF!</v>
      </c>
      <c r="R29" s="135" t="e">
        <f>R39+#REF!+#REF!+#REF!+R37+#REF!+#REF!</f>
        <v>#REF!</v>
      </c>
      <c r="S29" s="135" t="e">
        <f>S39+#REF!+#REF!+#REF!+S37+#REF!+#REF!</f>
        <v>#REF!</v>
      </c>
      <c r="T29" s="135" t="e">
        <f>T39+#REF!+#REF!+#REF!+T37+#REF!+#REF!</f>
        <v>#REF!</v>
      </c>
      <c r="U29" s="135" t="e">
        <f>U39+#REF!+#REF!+#REF!+U37+#REF!+#REF!</f>
        <v>#REF!</v>
      </c>
      <c r="V29" s="180"/>
      <c r="W29" s="181"/>
      <c r="X29" s="181"/>
      <c r="Y29" s="180">
        <f>Y39+Y37+Y30</f>
        <v>2026359</v>
      </c>
    </row>
    <row r="30" spans="1:25" s="201" customFormat="1" ht="51">
      <c r="A30" s="485">
        <v>85212</v>
      </c>
      <c r="B30" s="486"/>
      <c r="C30" s="141"/>
      <c r="D30" s="13" t="s">
        <v>234</v>
      </c>
      <c r="E30" s="198">
        <f>SUM(E31:E35)</f>
        <v>1982600</v>
      </c>
      <c r="F30" s="199"/>
      <c r="G30" s="199"/>
      <c r="H30" s="199"/>
      <c r="I30" s="199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142">
        <v>85212</v>
      </c>
      <c r="W30" s="141"/>
      <c r="X30" s="13" t="s">
        <v>234</v>
      </c>
      <c r="Y30" s="198">
        <f>SUM(Y31:Y36)</f>
        <v>1982600</v>
      </c>
    </row>
    <row r="31" spans="1:25" s="201" customFormat="1" ht="18" customHeight="1">
      <c r="A31" s="487"/>
      <c r="B31" s="488"/>
      <c r="C31" s="467">
        <v>2010</v>
      </c>
      <c r="D31" s="470" t="s">
        <v>13</v>
      </c>
      <c r="E31" s="493">
        <v>1982600</v>
      </c>
      <c r="F31" s="199"/>
      <c r="G31" s="199"/>
      <c r="H31" s="199"/>
      <c r="I31" s="199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496"/>
      <c r="W31" s="15">
        <v>3110</v>
      </c>
      <c r="X31" s="17" t="s">
        <v>210</v>
      </c>
      <c r="Y31" s="18">
        <v>1923122</v>
      </c>
    </row>
    <row r="32" spans="1:25" s="201" customFormat="1" ht="25.5">
      <c r="A32" s="489"/>
      <c r="B32" s="490"/>
      <c r="C32" s="468"/>
      <c r="D32" s="471"/>
      <c r="E32" s="494"/>
      <c r="F32" s="199"/>
      <c r="G32" s="199"/>
      <c r="H32" s="199"/>
      <c r="I32" s="199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497"/>
      <c r="W32" s="15">
        <v>4010</v>
      </c>
      <c r="X32" s="17" t="s">
        <v>47</v>
      </c>
      <c r="Y32" s="18">
        <v>38095</v>
      </c>
    </row>
    <row r="33" spans="1:25" s="201" customFormat="1" ht="24.75" customHeight="1">
      <c r="A33" s="489"/>
      <c r="B33" s="490"/>
      <c r="C33" s="468"/>
      <c r="D33" s="471"/>
      <c r="E33" s="494"/>
      <c r="F33" s="199"/>
      <c r="G33" s="199"/>
      <c r="H33" s="199"/>
      <c r="I33" s="199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497"/>
      <c r="W33" s="15">
        <v>4110</v>
      </c>
      <c r="X33" s="17" t="s">
        <v>48</v>
      </c>
      <c r="Y33" s="18">
        <v>6513</v>
      </c>
    </row>
    <row r="34" spans="1:25" s="201" customFormat="1" ht="27" customHeight="1">
      <c r="A34" s="489"/>
      <c r="B34" s="490"/>
      <c r="C34" s="468"/>
      <c r="D34" s="471"/>
      <c r="E34" s="494"/>
      <c r="F34" s="199"/>
      <c r="G34" s="199"/>
      <c r="H34" s="199"/>
      <c r="I34" s="199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497"/>
      <c r="W34" s="15">
        <v>4210</v>
      </c>
      <c r="X34" s="17" t="s">
        <v>29</v>
      </c>
      <c r="Y34" s="18">
        <v>4604</v>
      </c>
    </row>
    <row r="35" spans="1:25" s="201" customFormat="1" ht="13.5" customHeight="1">
      <c r="A35" s="489"/>
      <c r="B35" s="490"/>
      <c r="C35" s="468"/>
      <c r="D35" s="471"/>
      <c r="E35" s="494"/>
      <c r="F35" s="199"/>
      <c r="G35" s="199"/>
      <c r="H35" s="199"/>
      <c r="I35" s="199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497"/>
      <c r="W35" s="15">
        <v>4300</v>
      </c>
      <c r="X35" s="17" t="s">
        <v>31</v>
      </c>
      <c r="Y35" s="18">
        <v>10000</v>
      </c>
    </row>
    <row r="36" spans="1:25" s="201" customFormat="1" ht="18" customHeight="1">
      <c r="A36" s="491"/>
      <c r="B36" s="492"/>
      <c r="C36" s="469"/>
      <c r="D36" s="472"/>
      <c r="E36" s="495"/>
      <c r="F36" s="199"/>
      <c r="G36" s="199"/>
      <c r="H36" s="199"/>
      <c r="I36" s="199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498"/>
      <c r="W36" s="15">
        <v>4410</v>
      </c>
      <c r="X36" s="17" t="s">
        <v>50</v>
      </c>
      <c r="Y36" s="18">
        <v>266</v>
      </c>
    </row>
    <row r="37" spans="1:25" s="156" customFormat="1" ht="66" customHeight="1">
      <c r="A37" s="451">
        <v>85213</v>
      </c>
      <c r="B37" s="452"/>
      <c r="C37" s="12"/>
      <c r="D37" s="13" t="s">
        <v>235</v>
      </c>
      <c r="E37" s="202">
        <f>E38</f>
        <v>10300</v>
      </c>
      <c r="F37" s="203">
        <f aca="true" t="shared" si="4" ref="F37:K37">F38</f>
        <v>0</v>
      </c>
      <c r="G37" s="203">
        <f t="shared" si="4"/>
        <v>0</v>
      </c>
      <c r="H37" s="203">
        <f t="shared" si="4"/>
        <v>2500</v>
      </c>
      <c r="I37" s="203">
        <f t="shared" si="4"/>
        <v>0</v>
      </c>
      <c r="J37" s="136">
        <f t="shared" si="4"/>
        <v>1183</v>
      </c>
      <c r="K37" s="136">
        <f t="shared" si="4"/>
        <v>805</v>
      </c>
      <c r="L37" s="136">
        <f>L38</f>
        <v>582</v>
      </c>
      <c r="M37" s="136">
        <f>M38</f>
        <v>1183</v>
      </c>
      <c r="N37" s="136">
        <f>N38</f>
        <v>2163</v>
      </c>
      <c r="O37" s="136"/>
      <c r="P37" s="136"/>
      <c r="Q37" s="136"/>
      <c r="R37" s="136"/>
      <c r="S37" s="136"/>
      <c r="T37" s="136"/>
      <c r="U37" s="136"/>
      <c r="V37" s="12">
        <v>85213</v>
      </c>
      <c r="W37" s="12"/>
      <c r="X37" s="13" t="s">
        <v>235</v>
      </c>
      <c r="Y37" s="202">
        <f>Y38</f>
        <v>10300</v>
      </c>
    </row>
    <row r="38" spans="1:25" s="156" customFormat="1" ht="57" customHeight="1">
      <c r="A38" s="453"/>
      <c r="B38" s="454"/>
      <c r="C38" s="15">
        <v>2010</v>
      </c>
      <c r="D38" s="17" t="s">
        <v>13</v>
      </c>
      <c r="E38" s="204">
        <v>10300</v>
      </c>
      <c r="F38" s="203"/>
      <c r="G38" s="203"/>
      <c r="H38" s="26">
        <v>2500</v>
      </c>
      <c r="I38" s="203"/>
      <c r="J38" s="204">
        <v>1183</v>
      </c>
      <c r="K38" s="204">
        <v>805</v>
      </c>
      <c r="L38" s="204">
        <v>582</v>
      </c>
      <c r="M38" s="204">
        <v>1183</v>
      </c>
      <c r="N38" s="204">
        <v>2163</v>
      </c>
      <c r="O38" s="136"/>
      <c r="P38" s="136"/>
      <c r="Q38" s="136"/>
      <c r="R38" s="136"/>
      <c r="S38" s="136"/>
      <c r="T38" s="136"/>
      <c r="U38" s="136"/>
      <c r="V38" s="136"/>
      <c r="W38" s="15">
        <v>4130</v>
      </c>
      <c r="X38" s="17" t="s">
        <v>211</v>
      </c>
      <c r="Y38" s="204">
        <v>10300</v>
      </c>
    </row>
    <row r="39" spans="1:25" s="7" customFormat="1" ht="38.25">
      <c r="A39" s="451">
        <v>85214</v>
      </c>
      <c r="B39" s="452"/>
      <c r="C39" s="12"/>
      <c r="D39" s="13" t="s">
        <v>236</v>
      </c>
      <c r="E39" s="182">
        <f aca="true" t="shared" si="5" ref="E39:U39">E40</f>
        <v>33459</v>
      </c>
      <c r="F39" s="184">
        <f t="shared" si="5"/>
        <v>0</v>
      </c>
      <c r="G39" s="184">
        <f t="shared" si="5"/>
        <v>53000</v>
      </c>
      <c r="H39" s="184">
        <f t="shared" si="5"/>
        <v>14800</v>
      </c>
      <c r="I39" s="184">
        <f t="shared" si="5"/>
        <v>0</v>
      </c>
      <c r="J39" s="185">
        <f t="shared" si="5"/>
        <v>20100</v>
      </c>
      <c r="K39" s="185">
        <f t="shared" si="5"/>
        <v>32427</v>
      </c>
      <c r="L39" s="185">
        <f t="shared" si="5"/>
        <v>22000</v>
      </c>
      <c r="M39" s="185">
        <f t="shared" si="5"/>
        <v>20100</v>
      </c>
      <c r="N39" s="185">
        <f t="shared" si="5"/>
        <v>29168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85">
        <f t="shared" si="5"/>
        <v>0</v>
      </c>
      <c r="T39" s="185">
        <f t="shared" si="5"/>
        <v>0</v>
      </c>
      <c r="U39" s="185">
        <f t="shared" si="5"/>
        <v>0</v>
      </c>
      <c r="V39" s="12">
        <v>85214</v>
      </c>
      <c r="W39" s="12"/>
      <c r="X39" s="13" t="s">
        <v>236</v>
      </c>
      <c r="Y39" s="182">
        <f>Y40</f>
        <v>33459</v>
      </c>
    </row>
    <row r="40" spans="1:25" s="7" customFormat="1" ht="55.5" customHeight="1">
      <c r="A40" s="455"/>
      <c r="B40" s="456"/>
      <c r="C40" s="205">
        <v>2010</v>
      </c>
      <c r="D40" s="205" t="s">
        <v>13</v>
      </c>
      <c r="E40" s="206">
        <v>33459</v>
      </c>
      <c r="F40" s="207"/>
      <c r="G40" s="207">
        <v>53000</v>
      </c>
      <c r="H40" s="207">
        <v>14800</v>
      </c>
      <c r="I40" s="207"/>
      <c r="J40" s="146">
        <v>20100</v>
      </c>
      <c r="K40" s="146">
        <v>32427</v>
      </c>
      <c r="L40" s="146">
        <v>22000</v>
      </c>
      <c r="M40" s="146">
        <v>20100</v>
      </c>
      <c r="N40" s="146">
        <v>29168</v>
      </c>
      <c r="O40" s="146"/>
      <c r="P40" s="146"/>
      <c r="Q40" s="146"/>
      <c r="R40" s="146"/>
      <c r="S40" s="146"/>
      <c r="T40" s="146"/>
      <c r="U40" s="146"/>
      <c r="V40" s="190"/>
      <c r="W40" s="15">
        <v>3110</v>
      </c>
      <c r="X40" s="17" t="s">
        <v>210</v>
      </c>
      <c r="Y40" s="66">
        <v>33459</v>
      </c>
    </row>
    <row r="41" spans="1:25" s="213" customFormat="1" ht="15">
      <c r="A41" s="447"/>
      <c r="B41" s="448"/>
      <c r="C41" s="208"/>
      <c r="D41" s="209" t="s">
        <v>69</v>
      </c>
      <c r="E41" s="210">
        <f>E13+E26+E29+E17+E8</f>
        <v>2356052</v>
      </c>
      <c r="F41" s="210" t="e">
        <f>F13+F26+#REF!+F29+#REF!</f>
        <v>#REF!</v>
      </c>
      <c r="G41" s="210" t="e">
        <f>G13+G26+#REF!+G29+#REF!</f>
        <v>#REF!</v>
      </c>
      <c r="H41" s="210" t="e">
        <f>H13+H26+#REF!+H29+#REF!</f>
        <v>#REF!</v>
      </c>
      <c r="I41" s="210" t="e">
        <f>I13+I26+#REF!+I29+#REF!</f>
        <v>#REF!</v>
      </c>
      <c r="J41" s="210" t="e">
        <f>J13+J26+#REF!+J29+#REF!</f>
        <v>#REF!</v>
      </c>
      <c r="K41" s="210" t="e">
        <f>K13+K26+#REF!+K29+#REF!</f>
        <v>#REF!</v>
      </c>
      <c r="L41" s="210" t="e">
        <f>L13+L26+#REF!+L29+#REF!</f>
        <v>#REF!</v>
      </c>
      <c r="M41" s="210" t="e">
        <f>M13+M26+#REF!+M29+#REF!</f>
        <v>#REF!</v>
      </c>
      <c r="N41" s="210" t="e">
        <f>N13+N26+#REF!+N29+#REF!</f>
        <v>#REF!</v>
      </c>
      <c r="O41" s="210" t="e">
        <f>O13+O26+#REF!+O29+#REF!</f>
        <v>#REF!</v>
      </c>
      <c r="P41" s="210" t="e">
        <f>P13+P26+#REF!+P29+#REF!</f>
        <v>#REF!</v>
      </c>
      <c r="Q41" s="210" t="e">
        <f>Q13+Q26+#REF!+Q29+#REF!</f>
        <v>#REF!</v>
      </c>
      <c r="R41" s="210" t="e">
        <f>R13+R26+#REF!+R29+#REF!</f>
        <v>#REF!</v>
      </c>
      <c r="S41" s="210" t="e">
        <f>S13+S26+#REF!+S29+#REF!</f>
        <v>#REF!</v>
      </c>
      <c r="T41" s="210" t="e">
        <f>T13+T26+#REF!+T29+#REF!</f>
        <v>#REF!</v>
      </c>
      <c r="U41" s="210" t="e">
        <f>U13+U26+#REF!+U29+#REF!</f>
        <v>#REF!</v>
      </c>
      <c r="V41" s="449"/>
      <c r="W41" s="450"/>
      <c r="X41" s="211"/>
      <c r="Y41" s="212">
        <f>Y13+Y26+Y29+Y17+Y8</f>
        <v>2356052</v>
      </c>
    </row>
    <row r="42" spans="5:25" s="7" customFormat="1" ht="12.75">
      <c r="E42" s="214"/>
      <c r="F42" s="158"/>
      <c r="G42" s="158"/>
      <c r="H42" s="158"/>
      <c r="I42" s="158"/>
      <c r="Y42" s="215"/>
    </row>
    <row r="43" spans="5:25" s="7" customFormat="1" ht="12.75">
      <c r="E43" s="216"/>
      <c r="F43" s="217"/>
      <c r="G43" s="217"/>
      <c r="H43" s="217"/>
      <c r="I43" s="217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Y43" s="215"/>
    </row>
    <row r="44" spans="5:25" s="7" customFormat="1" ht="12.75">
      <c r="E44" s="216"/>
      <c r="F44" s="217"/>
      <c r="G44" s="217"/>
      <c r="H44" s="217"/>
      <c r="I44" s="217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Y44" s="215"/>
    </row>
    <row r="45" spans="5:25" s="7" customFormat="1" ht="12.75">
      <c r="E45" s="214"/>
      <c r="F45" s="158"/>
      <c r="G45" s="158"/>
      <c r="H45" s="158"/>
      <c r="I45" s="158"/>
      <c r="Y45" s="215"/>
    </row>
    <row r="46" spans="5:25" s="7" customFormat="1" ht="12.75">
      <c r="E46" s="214"/>
      <c r="F46" s="158"/>
      <c r="G46" s="158"/>
      <c r="H46" s="158"/>
      <c r="I46" s="158"/>
      <c r="Y46" s="215"/>
    </row>
    <row r="47" spans="5:25" s="7" customFormat="1" ht="12.75">
      <c r="E47" s="214"/>
      <c r="F47" s="158"/>
      <c r="G47" s="158"/>
      <c r="H47" s="158"/>
      <c r="I47" s="158"/>
      <c r="Y47" s="215"/>
    </row>
    <row r="48" spans="5:25" s="7" customFormat="1" ht="12.75">
      <c r="E48" s="214"/>
      <c r="F48" s="158"/>
      <c r="G48" s="158"/>
      <c r="H48" s="158"/>
      <c r="I48" s="158"/>
      <c r="Y48" s="215"/>
    </row>
    <row r="49" spans="5:25" s="7" customFormat="1" ht="12.75">
      <c r="E49" s="214"/>
      <c r="F49" s="158"/>
      <c r="G49" s="158"/>
      <c r="H49" s="158"/>
      <c r="I49" s="158"/>
      <c r="Y49" s="215"/>
    </row>
    <row r="50" ht="12.75">
      <c r="Y50" s="62"/>
    </row>
    <row r="51" ht="12.75">
      <c r="Y51" s="62"/>
    </row>
    <row r="52" ht="12.75">
      <c r="Y52" s="62"/>
    </row>
    <row r="53" ht="12.75">
      <c r="Y53" s="62"/>
    </row>
    <row r="54" ht="12.75">
      <c r="Y54" s="62"/>
    </row>
    <row r="55" ht="12.75">
      <c r="Y55" s="62"/>
    </row>
    <row r="56" ht="12.75">
      <c r="Y56" s="62"/>
    </row>
    <row r="57" ht="12.75">
      <c r="Y57" s="62"/>
    </row>
    <row r="58" ht="12.75">
      <c r="Y58" s="62"/>
    </row>
    <row r="59" ht="12.75">
      <c r="Y59" s="62"/>
    </row>
    <row r="60" ht="12.75">
      <c r="Y60" s="62"/>
    </row>
    <row r="61" ht="12.75">
      <c r="Y61" s="62"/>
    </row>
    <row r="62" ht="12.75">
      <c r="Y62" s="62"/>
    </row>
    <row r="63" ht="12.75">
      <c r="Y63" s="62"/>
    </row>
    <row r="64" ht="12.75">
      <c r="Y64" s="62"/>
    </row>
    <row r="65" ht="12.75">
      <c r="Y65" s="62"/>
    </row>
    <row r="66" ht="12.75">
      <c r="Y66" s="62"/>
    </row>
    <row r="67" ht="12.75">
      <c r="Y67" s="62"/>
    </row>
    <row r="68" ht="12.75">
      <c r="Y68" s="62"/>
    </row>
    <row r="69" ht="12.75">
      <c r="Y69" s="62"/>
    </row>
    <row r="70" ht="12.75">
      <c r="Y70" s="62"/>
    </row>
    <row r="71" ht="12.75">
      <c r="Y71" s="62"/>
    </row>
    <row r="72" ht="12.75">
      <c r="Y72" s="62"/>
    </row>
  </sheetData>
  <mergeCells count="33">
    <mergeCell ref="C31:C36"/>
    <mergeCell ref="D31:D36"/>
    <mergeCell ref="E31:E36"/>
    <mergeCell ref="V31:V36"/>
    <mergeCell ref="A27:B27"/>
    <mergeCell ref="A28:B28"/>
    <mergeCell ref="A30:B30"/>
    <mergeCell ref="A31:B36"/>
    <mergeCell ref="A14:B14"/>
    <mergeCell ref="A15:B16"/>
    <mergeCell ref="C15:C16"/>
    <mergeCell ref="A19:B19"/>
    <mergeCell ref="X1:Y2"/>
    <mergeCell ref="A4:Y4"/>
    <mergeCell ref="A3:Y3"/>
    <mergeCell ref="C10:C12"/>
    <mergeCell ref="D10:D12"/>
    <mergeCell ref="E10:E12"/>
    <mergeCell ref="V15:V16"/>
    <mergeCell ref="A18:B18"/>
    <mergeCell ref="A21:B25"/>
    <mergeCell ref="C21:C25"/>
    <mergeCell ref="D21:D25"/>
    <mergeCell ref="E21:E25"/>
    <mergeCell ref="A20:B20"/>
    <mergeCell ref="D15:D16"/>
    <mergeCell ref="E15:E16"/>
    <mergeCell ref="A41:B41"/>
    <mergeCell ref="V41:W41"/>
    <mergeCell ref="A37:B37"/>
    <mergeCell ref="A38:B38"/>
    <mergeCell ref="A39:B39"/>
    <mergeCell ref="A40:B4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8"/>
  <sheetViews>
    <sheetView workbookViewId="0" topLeftCell="A1">
      <selection activeCell="E32" sqref="E32"/>
    </sheetView>
  </sheetViews>
  <sheetFormatPr defaultColWidth="9.140625" defaultRowHeight="12.75"/>
  <cols>
    <col min="1" max="1" width="4.421875" style="333" customWidth="1"/>
    <col min="2" max="2" width="6.7109375" style="333" customWidth="1"/>
    <col min="3" max="3" width="26.140625" style="333" customWidth="1"/>
    <col min="4" max="4" width="15.140625" style="333" customWidth="1"/>
    <col min="5" max="5" width="11.57421875" style="333" customWidth="1"/>
    <col min="6" max="6" width="16.00390625" style="333" customWidth="1"/>
    <col min="7" max="7" width="14.28125" style="333" customWidth="1"/>
    <col min="8" max="8" width="12.8515625" style="333" customWidth="1"/>
    <col min="9" max="9" width="15.28125" style="333" customWidth="1"/>
    <col min="10" max="10" width="17.8515625" style="333" customWidth="1"/>
    <col min="11" max="13" width="9.140625" style="333" customWidth="1"/>
    <col min="14" max="14" width="7.8515625" style="333" customWidth="1"/>
    <col min="15" max="15" width="19.28125" style="333" customWidth="1"/>
    <col min="16" max="16" width="14.57421875" style="333" customWidth="1"/>
    <col min="17" max="17" width="14.140625" style="333" customWidth="1"/>
    <col min="18" max="18" width="14.421875" style="333" customWidth="1"/>
    <col min="19" max="19" width="14.57421875" style="333" customWidth="1"/>
    <col min="20" max="20" width="13.140625" style="333" customWidth="1"/>
    <col min="21" max="21" width="17.28125" style="333" customWidth="1"/>
    <col min="22" max="16384" width="9.140625" style="333" customWidth="1"/>
  </cols>
  <sheetData>
    <row r="2" spans="6:10" ht="34.5" customHeight="1">
      <c r="F2" s="258"/>
      <c r="G2" s="258"/>
      <c r="H2" s="258"/>
      <c r="I2" s="258"/>
      <c r="J2" s="4"/>
    </row>
    <row r="3" spans="9:12" ht="54.75" customHeight="1">
      <c r="I3" s="258"/>
      <c r="J3" s="258" t="s">
        <v>312</v>
      </c>
      <c r="K3" s="258"/>
      <c r="L3" s="334"/>
    </row>
    <row r="4" spans="9:12" ht="12.75">
      <c r="I4" s="335"/>
      <c r="J4" s="258"/>
      <c r="K4" s="258"/>
      <c r="L4" s="336"/>
    </row>
    <row r="5" spans="2:11" ht="15.75" customHeight="1">
      <c r="B5" s="516" t="s">
        <v>313</v>
      </c>
      <c r="C5" s="516"/>
      <c r="D5" s="516"/>
      <c r="E5" s="516"/>
      <c r="F5" s="516"/>
      <c r="G5" s="516"/>
      <c r="H5" s="516"/>
      <c r="I5" s="516"/>
      <c r="J5" s="337"/>
      <c r="K5" s="337"/>
    </row>
    <row r="6" spans="2:9" ht="12.75">
      <c r="B6" s="516"/>
      <c r="C6" s="516"/>
      <c r="D6" s="516"/>
      <c r="E6" s="516"/>
      <c r="F6" s="516"/>
      <c r="G6" s="516"/>
      <c r="H6" s="516"/>
      <c r="I6" s="516"/>
    </row>
    <row r="8" spans="2:10" ht="12.75" customHeight="1">
      <c r="B8" s="517" t="s">
        <v>314</v>
      </c>
      <c r="C8" s="517" t="s">
        <v>315</v>
      </c>
      <c r="D8" s="513" t="s">
        <v>316</v>
      </c>
      <c r="E8" s="520" t="s">
        <v>5</v>
      </c>
      <c r="F8" s="513" t="s">
        <v>317</v>
      </c>
      <c r="G8" s="513" t="s">
        <v>318</v>
      </c>
      <c r="H8" s="520" t="s">
        <v>5</v>
      </c>
      <c r="I8" s="513" t="s">
        <v>26</v>
      </c>
      <c r="J8" s="513" t="s">
        <v>7</v>
      </c>
    </row>
    <row r="9" spans="2:10" s="7" customFormat="1" ht="12.75" customHeight="1">
      <c r="B9" s="518"/>
      <c r="C9" s="518"/>
      <c r="D9" s="514"/>
      <c r="E9" s="521"/>
      <c r="F9" s="514"/>
      <c r="G9" s="514"/>
      <c r="H9" s="521"/>
      <c r="I9" s="514"/>
      <c r="J9" s="514"/>
    </row>
    <row r="10" spans="2:10" ht="12.75" customHeight="1">
      <c r="B10" s="519"/>
      <c r="C10" s="519"/>
      <c r="D10" s="515"/>
      <c r="E10" s="522"/>
      <c r="F10" s="515"/>
      <c r="G10" s="515"/>
      <c r="H10" s="522"/>
      <c r="I10" s="515"/>
      <c r="J10" s="515"/>
    </row>
    <row r="11" spans="2:10" ht="12.75" customHeight="1">
      <c r="B11" s="338"/>
      <c r="C11" s="338"/>
      <c r="D11" s="338"/>
      <c r="E11" s="339"/>
      <c r="F11" s="338"/>
      <c r="G11" s="338"/>
      <c r="H11" s="339"/>
      <c r="I11" s="338"/>
      <c r="J11" s="338"/>
    </row>
    <row r="12" spans="2:10" s="36" customFormat="1" ht="25.5">
      <c r="B12" s="12">
        <v>400</v>
      </c>
      <c r="C12" s="13" t="s">
        <v>319</v>
      </c>
      <c r="D12" s="340">
        <v>690400</v>
      </c>
      <c r="E12" s="341">
        <v>57000</v>
      </c>
      <c r="F12" s="340">
        <f>D12+E12</f>
        <v>747400</v>
      </c>
      <c r="G12" s="505">
        <v>690400</v>
      </c>
      <c r="H12" s="502">
        <v>57000</v>
      </c>
      <c r="I12" s="505">
        <f>G12+H12</f>
        <v>747400</v>
      </c>
      <c r="J12" s="508" t="s">
        <v>320</v>
      </c>
    </row>
    <row r="13" spans="2:10" s="36" customFormat="1" ht="12.75">
      <c r="B13" s="12"/>
      <c r="C13" s="342" t="s">
        <v>321</v>
      </c>
      <c r="D13" s="340"/>
      <c r="E13" s="341"/>
      <c r="F13" s="340"/>
      <c r="G13" s="506"/>
      <c r="H13" s="503"/>
      <c r="I13" s="506"/>
      <c r="J13" s="509"/>
    </row>
    <row r="14" spans="2:10" s="36" customFormat="1" ht="12.75">
      <c r="B14" s="12"/>
      <c r="C14" s="343" t="s">
        <v>322</v>
      </c>
      <c r="D14" s="61">
        <v>30000</v>
      </c>
      <c r="E14" s="344"/>
      <c r="F14" s="345">
        <f aca="true" t="shared" si="0" ref="F14:F26">D14+E14</f>
        <v>30000</v>
      </c>
      <c r="G14" s="506"/>
      <c r="H14" s="503"/>
      <c r="I14" s="506"/>
      <c r="J14" s="509"/>
    </row>
    <row r="15" spans="2:10" s="36" customFormat="1" ht="12.75">
      <c r="B15" s="12"/>
      <c r="C15" s="343" t="s">
        <v>323</v>
      </c>
      <c r="D15" s="61">
        <v>16470</v>
      </c>
      <c r="E15" s="344"/>
      <c r="F15" s="345">
        <f t="shared" si="0"/>
        <v>16470</v>
      </c>
      <c r="G15" s="507"/>
      <c r="H15" s="504"/>
      <c r="I15" s="507"/>
      <c r="J15" s="510"/>
    </row>
    <row r="16" spans="2:10" s="36" customFormat="1" ht="12.75">
      <c r="B16" s="346"/>
      <c r="C16" s="347"/>
      <c r="D16" s="348"/>
      <c r="E16" s="349"/>
      <c r="F16" s="350"/>
      <c r="G16" s="351"/>
      <c r="H16" s="352"/>
      <c r="I16" s="351"/>
      <c r="J16" s="348"/>
    </row>
    <row r="17" spans="2:10" s="36" customFormat="1" ht="12.75">
      <c r="B17" s="12">
        <v>600</v>
      </c>
      <c r="C17" s="353" t="s">
        <v>37</v>
      </c>
      <c r="D17" s="340">
        <v>174200</v>
      </c>
      <c r="E17" s="341"/>
      <c r="F17" s="340">
        <f t="shared" si="0"/>
        <v>174200</v>
      </c>
      <c r="G17" s="499">
        <v>174200</v>
      </c>
      <c r="H17" s="502"/>
      <c r="I17" s="505">
        <f>G17+H17</f>
        <v>174200</v>
      </c>
      <c r="J17" s="511"/>
    </row>
    <row r="18" spans="2:10" s="36" customFormat="1" ht="12.75">
      <c r="B18" s="12"/>
      <c r="C18" s="343" t="s">
        <v>324</v>
      </c>
      <c r="D18" s="61">
        <v>174200</v>
      </c>
      <c r="E18" s="344"/>
      <c r="F18" s="345">
        <f t="shared" si="0"/>
        <v>174200</v>
      </c>
      <c r="G18" s="501"/>
      <c r="H18" s="504"/>
      <c r="I18" s="507"/>
      <c r="J18" s="512"/>
    </row>
    <row r="19" spans="2:10" s="36" customFormat="1" ht="12.75">
      <c r="B19" s="346"/>
      <c r="C19" s="347"/>
      <c r="D19" s="348"/>
      <c r="E19" s="349"/>
      <c r="F19" s="350"/>
      <c r="G19" s="351"/>
      <c r="H19" s="352"/>
      <c r="I19" s="351"/>
      <c r="J19" s="348"/>
    </row>
    <row r="20" spans="2:10" s="36" customFormat="1" ht="23.25" customHeight="1">
      <c r="B20" s="12">
        <v>700</v>
      </c>
      <c r="C20" s="13" t="s">
        <v>8</v>
      </c>
      <c r="D20" s="340">
        <v>315100</v>
      </c>
      <c r="E20" s="341">
        <v>5000</v>
      </c>
      <c r="F20" s="340">
        <f t="shared" si="0"/>
        <v>320100</v>
      </c>
      <c r="G20" s="505">
        <v>315100</v>
      </c>
      <c r="H20" s="502">
        <v>5000</v>
      </c>
      <c r="I20" s="505">
        <f>G20+H20</f>
        <v>320100</v>
      </c>
      <c r="J20" s="508" t="s">
        <v>325</v>
      </c>
    </row>
    <row r="21" spans="2:10" s="36" customFormat="1" ht="27.75" customHeight="1">
      <c r="B21" s="12"/>
      <c r="C21" s="343" t="s">
        <v>324</v>
      </c>
      <c r="D21" s="61">
        <v>0</v>
      </c>
      <c r="E21" s="344"/>
      <c r="F21" s="345">
        <f t="shared" si="0"/>
        <v>0</v>
      </c>
      <c r="G21" s="507"/>
      <c r="H21" s="504"/>
      <c r="I21" s="507"/>
      <c r="J21" s="510"/>
    </row>
    <row r="22" spans="2:10" s="36" customFormat="1" ht="12.75">
      <c r="B22" s="346"/>
      <c r="C22" s="347"/>
      <c r="D22" s="348"/>
      <c r="E22" s="349"/>
      <c r="F22" s="350"/>
      <c r="G22" s="351"/>
      <c r="H22" s="352"/>
      <c r="I22" s="351"/>
      <c r="J22" s="348"/>
    </row>
    <row r="23" spans="2:10" s="36" customFormat="1" ht="25.5">
      <c r="B23" s="12">
        <v>900</v>
      </c>
      <c r="C23" s="13" t="s">
        <v>326</v>
      </c>
      <c r="D23" s="340">
        <v>1570300</v>
      </c>
      <c r="E23" s="341">
        <v>199100</v>
      </c>
      <c r="F23" s="340">
        <f t="shared" si="0"/>
        <v>1769400</v>
      </c>
      <c r="G23" s="499">
        <v>1570300</v>
      </c>
      <c r="H23" s="502">
        <v>199100</v>
      </c>
      <c r="I23" s="505">
        <f>G23+H23</f>
        <v>1769400</v>
      </c>
      <c r="J23" s="508" t="s">
        <v>327</v>
      </c>
    </row>
    <row r="24" spans="2:10" s="36" customFormat="1" ht="12.75">
      <c r="B24" s="12"/>
      <c r="C24" s="342" t="s">
        <v>321</v>
      </c>
      <c r="D24" s="61"/>
      <c r="E24" s="344"/>
      <c r="F24" s="345"/>
      <c r="G24" s="500"/>
      <c r="H24" s="503"/>
      <c r="I24" s="506"/>
      <c r="J24" s="509"/>
    </row>
    <row r="25" spans="2:10" s="36" customFormat="1" ht="12.75">
      <c r="B25" s="12"/>
      <c r="C25" s="343" t="s">
        <v>322</v>
      </c>
      <c r="D25" s="61">
        <v>132000</v>
      </c>
      <c r="E25" s="344"/>
      <c r="F25" s="345">
        <f t="shared" si="0"/>
        <v>132000</v>
      </c>
      <c r="G25" s="500"/>
      <c r="H25" s="503"/>
      <c r="I25" s="506"/>
      <c r="J25" s="509"/>
    </row>
    <row r="26" spans="2:10" s="36" customFormat="1" ht="12.75">
      <c r="B26" s="12"/>
      <c r="C26" s="343" t="s">
        <v>323</v>
      </c>
      <c r="D26" s="61">
        <v>244000</v>
      </c>
      <c r="E26" s="344"/>
      <c r="F26" s="345">
        <f t="shared" si="0"/>
        <v>244000</v>
      </c>
      <c r="G26" s="501"/>
      <c r="H26" s="504"/>
      <c r="I26" s="507"/>
      <c r="J26" s="510"/>
    </row>
    <row r="27" spans="2:10" s="354" customFormat="1" ht="15.75">
      <c r="B27" s="355"/>
      <c r="C27" s="356"/>
      <c r="D27" s="357">
        <f aca="true" t="shared" si="1" ref="D27:I27">D12+D20+D23+D17</f>
        <v>2750000</v>
      </c>
      <c r="E27" s="358">
        <f t="shared" si="1"/>
        <v>261100</v>
      </c>
      <c r="F27" s="357">
        <f t="shared" si="1"/>
        <v>3011100</v>
      </c>
      <c r="G27" s="357">
        <f t="shared" si="1"/>
        <v>2750000</v>
      </c>
      <c r="H27" s="358">
        <f t="shared" si="1"/>
        <v>261100</v>
      </c>
      <c r="I27" s="357">
        <f t="shared" si="1"/>
        <v>3011100</v>
      </c>
      <c r="J27" s="359"/>
    </row>
    <row r="28" spans="4:10" ht="12.75">
      <c r="D28" s="360"/>
      <c r="E28" s="360"/>
      <c r="F28" s="360"/>
      <c r="G28" s="360"/>
      <c r="H28" s="360"/>
      <c r="I28" s="360"/>
      <c r="J28" s="360"/>
    </row>
    <row r="29" spans="4:10" ht="12.75">
      <c r="D29" s="360"/>
      <c r="E29" s="360"/>
      <c r="F29" s="360"/>
      <c r="G29" s="360"/>
      <c r="H29" s="360"/>
      <c r="I29" s="360"/>
      <c r="J29" s="360"/>
    </row>
    <row r="30" spans="4:10" ht="12.75">
      <c r="D30" s="360"/>
      <c r="E30" s="360"/>
      <c r="F30" s="360"/>
      <c r="G30" s="360"/>
      <c r="H30" s="360"/>
      <c r="I30" s="360"/>
      <c r="J30" s="360"/>
    </row>
    <row r="32" spans="4:8" ht="12.75">
      <c r="D32" s="361"/>
      <c r="E32" s="361"/>
      <c r="F32" s="361"/>
      <c r="G32" s="361"/>
      <c r="H32" s="361"/>
    </row>
    <row r="33" spans="4:8" ht="12.75">
      <c r="D33" s="360"/>
      <c r="E33" s="360"/>
      <c r="F33" s="360"/>
      <c r="G33" s="360"/>
      <c r="H33" s="360"/>
    </row>
    <row r="34" spans="4:8" ht="12.75">
      <c r="D34" s="360"/>
      <c r="E34" s="360"/>
      <c r="F34" s="360"/>
      <c r="G34" s="360"/>
      <c r="H34" s="360"/>
    </row>
    <row r="36" ht="12.75">
      <c r="D36" s="360"/>
    </row>
    <row r="37" ht="12.75">
      <c r="D37" s="360"/>
    </row>
    <row r="38" ht="12.75">
      <c r="D38" s="360"/>
    </row>
  </sheetData>
  <mergeCells count="26">
    <mergeCell ref="B5:I6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G12:G15"/>
    <mergeCell ref="H12:H15"/>
    <mergeCell ref="I12:I15"/>
    <mergeCell ref="J12:J15"/>
    <mergeCell ref="G17:G18"/>
    <mergeCell ref="H17:H18"/>
    <mergeCell ref="I17:I18"/>
    <mergeCell ref="J17:J18"/>
    <mergeCell ref="G20:G21"/>
    <mergeCell ref="H20:H21"/>
    <mergeCell ref="I20:I21"/>
    <mergeCell ref="J20:J21"/>
    <mergeCell ref="G23:G26"/>
    <mergeCell ref="H23:H26"/>
    <mergeCell ref="I23:I26"/>
    <mergeCell ref="J23:J2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18"/>
  <sheetViews>
    <sheetView workbookViewId="0" topLeftCell="A100">
      <selection activeCell="A1" sqref="A1:IV16384"/>
    </sheetView>
  </sheetViews>
  <sheetFormatPr defaultColWidth="9.140625" defaultRowHeight="12.75"/>
  <cols>
    <col min="1" max="1" width="2.28125" style="70" customWidth="1"/>
    <col min="2" max="2" width="5.28125" style="70" customWidth="1"/>
    <col min="3" max="3" width="7.28125" style="70" customWidth="1"/>
    <col min="4" max="4" width="4.8515625" style="70" customWidth="1"/>
    <col min="5" max="5" width="26.140625" style="70" customWidth="1"/>
    <col min="6" max="6" width="18.421875" style="70" customWidth="1"/>
    <col min="7" max="7" width="13.140625" style="129" customWidth="1"/>
    <col min="8" max="8" width="15.421875" style="70" customWidth="1"/>
    <col min="9" max="9" width="45.57421875" style="130" customWidth="1"/>
    <col min="10" max="16384" width="9.140625" style="70" customWidth="1"/>
  </cols>
  <sheetData>
    <row r="1" spans="2:9" ht="24.75" customHeight="1">
      <c r="B1" s="67" t="s">
        <v>70</v>
      </c>
      <c r="C1" s="68"/>
      <c r="D1" s="69"/>
      <c r="F1" s="71"/>
      <c r="G1" s="72"/>
      <c r="H1" s="71"/>
      <c r="I1" s="524" t="s">
        <v>328</v>
      </c>
    </row>
    <row r="2" spans="2:9" ht="6" customHeight="1">
      <c r="B2" s="67"/>
      <c r="C2" s="68"/>
      <c r="D2" s="69"/>
      <c r="F2" s="71"/>
      <c r="G2" s="72"/>
      <c r="H2" s="71"/>
      <c r="I2" s="524"/>
    </row>
    <row r="3" spans="2:9" s="73" customFormat="1" ht="15.75" customHeight="1">
      <c r="B3" s="525" t="s">
        <v>0</v>
      </c>
      <c r="C3" s="525" t="s">
        <v>24</v>
      </c>
      <c r="D3" s="525" t="s">
        <v>2</v>
      </c>
      <c r="E3" s="525" t="s">
        <v>3</v>
      </c>
      <c r="F3" s="525" t="s">
        <v>71</v>
      </c>
      <c r="G3" s="409" t="s">
        <v>5</v>
      </c>
      <c r="H3" s="525" t="s">
        <v>72</v>
      </c>
      <c r="I3" s="526"/>
    </row>
    <row r="4" spans="2:9" s="74" customFormat="1" ht="67.5" customHeight="1">
      <c r="B4" s="525"/>
      <c r="C4" s="525"/>
      <c r="D4" s="525"/>
      <c r="E4" s="525"/>
      <c r="F4" s="525"/>
      <c r="G4" s="409"/>
      <c r="H4" s="525"/>
      <c r="I4" s="527"/>
    </row>
    <row r="5" spans="2:9" ht="12.75">
      <c r="B5" s="75"/>
      <c r="C5" s="75"/>
      <c r="D5" s="75"/>
      <c r="E5" s="75"/>
      <c r="F5" s="75"/>
      <c r="G5" s="76"/>
      <c r="H5" s="75"/>
      <c r="I5" s="77"/>
    </row>
    <row r="6" spans="2:9" ht="51" customHeight="1" hidden="1">
      <c r="B6" s="75"/>
      <c r="C6" s="75"/>
      <c r="D6" s="75"/>
      <c r="E6" s="75"/>
      <c r="F6" s="78" t="s">
        <v>73</v>
      </c>
      <c r="G6" s="79"/>
      <c r="H6" s="78"/>
      <c r="I6" s="77"/>
    </row>
    <row r="7" spans="2:9" ht="12.75">
      <c r="B7" s="80" t="s">
        <v>27</v>
      </c>
      <c r="C7" s="37"/>
      <c r="D7" s="37"/>
      <c r="E7" s="38" t="s">
        <v>28</v>
      </c>
      <c r="F7" s="81">
        <f>F8</f>
        <v>1673529</v>
      </c>
      <c r="G7" s="151">
        <f>G8</f>
        <v>116742</v>
      </c>
      <c r="H7" s="81">
        <f>H8</f>
        <v>1790271</v>
      </c>
      <c r="I7" s="82"/>
    </row>
    <row r="8" spans="2:9" s="73" customFormat="1" ht="25.5">
      <c r="B8" s="27"/>
      <c r="C8" s="40" t="s">
        <v>32</v>
      </c>
      <c r="D8" s="27"/>
      <c r="E8" s="30" t="s">
        <v>33</v>
      </c>
      <c r="F8" s="83">
        <f>SUM(F9:F9)</f>
        <v>1673529</v>
      </c>
      <c r="G8" s="84">
        <f>SUM(G9:G9)</f>
        <v>116742</v>
      </c>
      <c r="H8" s="83">
        <f>SUM(H9:H9)</f>
        <v>1790271</v>
      </c>
      <c r="I8" s="85"/>
    </row>
    <row r="9" spans="2:9" s="73" customFormat="1" ht="25.5">
      <c r="B9" s="44"/>
      <c r="C9" s="86"/>
      <c r="D9" s="45">
        <v>6050</v>
      </c>
      <c r="E9" s="45" t="s">
        <v>34</v>
      </c>
      <c r="F9" s="87">
        <f>SUM(F10:F28)</f>
        <v>1673529</v>
      </c>
      <c r="G9" s="88">
        <f>SUM(G10:G28)</f>
        <v>116742</v>
      </c>
      <c r="H9" s="87">
        <f>SUM(H10:H28)</f>
        <v>1790271</v>
      </c>
      <c r="I9" s="85"/>
    </row>
    <row r="10" spans="2:9" s="73" customFormat="1" ht="12.75">
      <c r="B10" s="44"/>
      <c r="C10" s="86"/>
      <c r="D10" s="45"/>
      <c r="E10" s="45"/>
      <c r="F10" s="89">
        <v>21000</v>
      </c>
      <c r="G10" s="91">
        <v>10500</v>
      </c>
      <c r="H10" s="89">
        <f aca="true" t="shared" si="0" ref="H10:H28">F10+G10</f>
        <v>31500</v>
      </c>
      <c r="I10" s="90" t="s">
        <v>74</v>
      </c>
    </row>
    <row r="11" spans="2:9" s="73" customFormat="1" ht="24">
      <c r="B11" s="44"/>
      <c r="C11" s="86"/>
      <c r="D11" s="45"/>
      <c r="E11" s="45"/>
      <c r="F11" s="89">
        <v>0</v>
      </c>
      <c r="G11" s="91"/>
      <c r="H11" s="89">
        <f t="shared" si="0"/>
        <v>0</v>
      </c>
      <c r="I11" s="90" t="s">
        <v>190</v>
      </c>
    </row>
    <row r="12" spans="2:9" s="73" customFormat="1" ht="12.75">
      <c r="B12" s="44"/>
      <c r="C12" s="86"/>
      <c r="D12" s="45"/>
      <c r="E12" s="45"/>
      <c r="F12" s="89">
        <v>16000</v>
      </c>
      <c r="G12" s="309">
        <v>-6000</v>
      </c>
      <c r="H12" s="89">
        <f t="shared" si="0"/>
        <v>10000</v>
      </c>
      <c r="I12" s="90" t="s">
        <v>191</v>
      </c>
    </row>
    <row r="13" spans="2:9" s="73" customFormat="1" ht="12.75">
      <c r="B13" s="44"/>
      <c r="C13" s="86"/>
      <c r="D13" s="45"/>
      <c r="E13" s="45"/>
      <c r="F13" s="89">
        <v>3424</v>
      </c>
      <c r="G13" s="309">
        <v>-3424</v>
      </c>
      <c r="H13" s="89">
        <f t="shared" si="0"/>
        <v>0</v>
      </c>
      <c r="I13" s="90" t="s">
        <v>75</v>
      </c>
    </row>
    <row r="14" spans="2:9" s="73" customFormat="1" ht="12.75">
      <c r="B14" s="44"/>
      <c r="C14" s="86"/>
      <c r="D14" s="45"/>
      <c r="E14" s="45"/>
      <c r="F14" s="89">
        <v>35300</v>
      </c>
      <c r="G14" s="91">
        <v>366</v>
      </c>
      <c r="H14" s="89">
        <f t="shared" si="0"/>
        <v>35666</v>
      </c>
      <c r="I14" s="90" t="s">
        <v>76</v>
      </c>
    </row>
    <row r="15" spans="2:9" s="73" customFormat="1" ht="12.75">
      <c r="B15" s="44"/>
      <c r="C15" s="86"/>
      <c r="D15" s="45"/>
      <c r="E15" s="45"/>
      <c r="F15" s="89">
        <v>17542</v>
      </c>
      <c r="G15" s="91"/>
      <c r="H15" s="89">
        <f t="shared" si="0"/>
        <v>17542</v>
      </c>
      <c r="I15" s="90" t="s">
        <v>77</v>
      </c>
    </row>
    <row r="16" spans="2:9" s="73" customFormat="1" ht="12.75">
      <c r="B16" s="44"/>
      <c r="C16" s="86"/>
      <c r="D16" s="45"/>
      <c r="E16" s="45"/>
      <c r="F16" s="89">
        <v>24000</v>
      </c>
      <c r="G16" s="91">
        <v>16000</v>
      </c>
      <c r="H16" s="89">
        <f t="shared" si="0"/>
        <v>40000</v>
      </c>
      <c r="I16" s="90" t="s">
        <v>78</v>
      </c>
    </row>
    <row r="17" spans="2:9" s="73" customFormat="1" ht="12.75">
      <c r="B17" s="44"/>
      <c r="C17" s="86"/>
      <c r="D17" s="45"/>
      <c r="E17" s="45"/>
      <c r="F17" s="89">
        <v>31707</v>
      </c>
      <c r="G17" s="91"/>
      <c r="H17" s="89">
        <f t="shared" si="0"/>
        <v>31707</v>
      </c>
      <c r="I17" s="90" t="s">
        <v>79</v>
      </c>
    </row>
    <row r="18" spans="2:9" s="73" customFormat="1" ht="12.75">
      <c r="B18" s="44"/>
      <c r="C18" s="86"/>
      <c r="D18" s="45"/>
      <c r="E18" s="45"/>
      <c r="F18" s="89">
        <v>4427</v>
      </c>
      <c r="G18" s="91"/>
      <c r="H18" s="89">
        <f t="shared" si="0"/>
        <v>4427</v>
      </c>
      <c r="I18" s="90" t="s">
        <v>80</v>
      </c>
    </row>
    <row r="19" spans="2:9" s="73" customFormat="1" ht="24">
      <c r="B19" s="44"/>
      <c r="C19" s="86"/>
      <c r="D19" s="45"/>
      <c r="E19" s="45"/>
      <c r="F19" s="89">
        <v>7700</v>
      </c>
      <c r="G19" s="91"/>
      <c r="H19" s="89">
        <f t="shared" si="0"/>
        <v>7700</v>
      </c>
      <c r="I19" s="90" t="s">
        <v>81</v>
      </c>
    </row>
    <row r="20" spans="2:9" s="73" customFormat="1" ht="12.75">
      <c r="B20" s="44"/>
      <c r="C20" s="86"/>
      <c r="D20" s="45"/>
      <c r="E20" s="45"/>
      <c r="F20" s="89">
        <v>80000</v>
      </c>
      <c r="G20" s="91"/>
      <c r="H20" s="89">
        <f t="shared" si="0"/>
        <v>80000</v>
      </c>
      <c r="I20" s="90" t="s">
        <v>82</v>
      </c>
    </row>
    <row r="21" spans="2:9" s="73" customFormat="1" ht="12.75">
      <c r="B21" s="44"/>
      <c r="C21" s="86"/>
      <c r="D21" s="45"/>
      <c r="E21" s="45"/>
      <c r="F21" s="89">
        <v>9154</v>
      </c>
      <c r="G21" s="91"/>
      <c r="H21" s="89">
        <f t="shared" si="0"/>
        <v>9154</v>
      </c>
      <c r="I21" s="90" t="s">
        <v>83</v>
      </c>
    </row>
    <row r="22" spans="2:9" s="73" customFormat="1" ht="12.75">
      <c r="B22" s="44"/>
      <c r="C22" s="86"/>
      <c r="D22" s="45"/>
      <c r="E22" s="45"/>
      <c r="F22" s="89">
        <v>10000</v>
      </c>
      <c r="G22" s="91">
        <v>3000</v>
      </c>
      <c r="H22" s="89">
        <f t="shared" si="0"/>
        <v>13000</v>
      </c>
      <c r="I22" s="90" t="s">
        <v>84</v>
      </c>
    </row>
    <row r="23" spans="2:9" s="73" customFormat="1" ht="24">
      <c r="B23" s="44"/>
      <c r="C23" s="86"/>
      <c r="D23" s="45"/>
      <c r="E23" s="45"/>
      <c r="F23" s="89"/>
      <c r="G23" s="91">
        <v>60000</v>
      </c>
      <c r="H23" s="89">
        <f t="shared" si="0"/>
        <v>60000</v>
      </c>
      <c r="I23" s="90" t="s">
        <v>329</v>
      </c>
    </row>
    <row r="24" spans="2:9" s="73" customFormat="1" ht="12.75">
      <c r="B24" s="44"/>
      <c r="C24" s="86"/>
      <c r="D24" s="45"/>
      <c r="E24" s="45"/>
      <c r="F24" s="89"/>
      <c r="G24" s="91">
        <v>28000</v>
      </c>
      <c r="H24" s="89">
        <f t="shared" si="0"/>
        <v>28000</v>
      </c>
      <c r="I24" s="90" t="s">
        <v>330</v>
      </c>
    </row>
    <row r="25" spans="2:9" s="73" customFormat="1" ht="12.75">
      <c r="B25" s="44"/>
      <c r="C25" s="86"/>
      <c r="D25" s="45"/>
      <c r="E25" s="45"/>
      <c r="F25" s="89">
        <v>313075</v>
      </c>
      <c r="G25" s="91"/>
      <c r="H25" s="89">
        <f t="shared" si="0"/>
        <v>313075</v>
      </c>
      <c r="I25" s="90" t="s">
        <v>85</v>
      </c>
    </row>
    <row r="26" spans="2:9" s="73" customFormat="1" ht="12.75">
      <c r="B26" s="44"/>
      <c r="C26" s="86"/>
      <c r="D26" s="45"/>
      <c r="E26" s="45"/>
      <c r="F26" s="89">
        <v>1060000</v>
      </c>
      <c r="G26" s="91"/>
      <c r="H26" s="89">
        <f t="shared" si="0"/>
        <v>1060000</v>
      </c>
      <c r="I26" s="90" t="s">
        <v>86</v>
      </c>
    </row>
    <row r="27" spans="2:9" s="73" customFormat="1" ht="24">
      <c r="B27" s="44"/>
      <c r="C27" s="86"/>
      <c r="D27" s="45"/>
      <c r="E27" s="45"/>
      <c r="F27" s="89">
        <v>33000</v>
      </c>
      <c r="G27" s="91">
        <v>3000</v>
      </c>
      <c r="H27" s="89">
        <f t="shared" si="0"/>
        <v>36000</v>
      </c>
      <c r="I27" s="90" t="s">
        <v>87</v>
      </c>
    </row>
    <row r="28" spans="2:9" s="73" customFormat="1" ht="12.75">
      <c r="B28" s="44"/>
      <c r="C28" s="86"/>
      <c r="D28" s="45"/>
      <c r="E28" s="45"/>
      <c r="F28" s="89">
        <v>7200</v>
      </c>
      <c r="G28" s="91">
        <v>5300</v>
      </c>
      <c r="H28" s="89">
        <f t="shared" si="0"/>
        <v>12500</v>
      </c>
      <c r="I28" s="90" t="s">
        <v>88</v>
      </c>
    </row>
    <row r="29" spans="2:9" s="73" customFormat="1" ht="12.75">
      <c r="B29" s="48">
        <v>600</v>
      </c>
      <c r="C29" s="48"/>
      <c r="D29" s="48"/>
      <c r="E29" s="49" t="s">
        <v>37</v>
      </c>
      <c r="F29" s="92">
        <f>F32+F30</f>
        <v>1197354</v>
      </c>
      <c r="G29" s="311">
        <f>G32+G30</f>
        <v>-17000</v>
      </c>
      <c r="H29" s="92">
        <f>H32+H30</f>
        <v>1180354</v>
      </c>
      <c r="I29" s="94"/>
    </row>
    <row r="30" spans="2:9" s="96" customFormat="1" ht="12.75">
      <c r="B30" s="53"/>
      <c r="C30" s="27">
        <v>60014</v>
      </c>
      <c r="D30" s="27"/>
      <c r="E30" s="30" t="s">
        <v>38</v>
      </c>
      <c r="F30" s="58">
        <f>F31</f>
        <v>149354</v>
      </c>
      <c r="G30" s="59">
        <f>G31</f>
        <v>0</v>
      </c>
      <c r="H30" s="58">
        <f>H31</f>
        <v>149354</v>
      </c>
      <c r="I30" s="95"/>
    </row>
    <row r="31" spans="2:9" s="96" customFormat="1" ht="80.25" customHeight="1">
      <c r="B31" s="53"/>
      <c r="C31" s="27"/>
      <c r="D31" s="44">
        <v>6300</v>
      </c>
      <c r="E31" s="45" t="s">
        <v>40</v>
      </c>
      <c r="F31" s="56">
        <v>149354</v>
      </c>
      <c r="G31" s="57"/>
      <c r="H31" s="89">
        <f>F31+G31</f>
        <v>149354</v>
      </c>
      <c r="I31" s="97" t="s">
        <v>89</v>
      </c>
    </row>
    <row r="32" spans="2:9" s="73" customFormat="1" ht="12.75">
      <c r="B32" s="27"/>
      <c r="C32" s="27">
        <v>60016</v>
      </c>
      <c r="D32" s="27"/>
      <c r="E32" s="30" t="s">
        <v>41</v>
      </c>
      <c r="F32" s="83">
        <f>SUM(F33:F33)</f>
        <v>1048000</v>
      </c>
      <c r="G32" s="308">
        <f>SUM(G33:G33)</f>
        <v>-17000</v>
      </c>
      <c r="H32" s="83">
        <f>SUM(H33:H33)</f>
        <v>1031000</v>
      </c>
      <c r="I32" s="523"/>
    </row>
    <row r="33" spans="2:9" s="73" customFormat="1" ht="25.5">
      <c r="B33" s="44"/>
      <c r="C33" s="43"/>
      <c r="D33" s="44">
        <v>6050</v>
      </c>
      <c r="E33" s="45" t="s">
        <v>34</v>
      </c>
      <c r="F33" s="87">
        <f>SUM(F34:F38)</f>
        <v>1048000</v>
      </c>
      <c r="G33" s="362">
        <f>SUM(G34:G38)</f>
        <v>-17000</v>
      </c>
      <c r="H33" s="87">
        <f>SUM(H34:H38)</f>
        <v>1031000</v>
      </c>
      <c r="I33" s="523"/>
    </row>
    <row r="34" spans="2:9" s="73" customFormat="1" ht="24">
      <c r="B34" s="44"/>
      <c r="C34" s="43"/>
      <c r="D34" s="44"/>
      <c r="E34" s="45"/>
      <c r="F34" s="89">
        <v>825000</v>
      </c>
      <c r="G34" s="91"/>
      <c r="H34" s="89">
        <f>F34+G34</f>
        <v>825000</v>
      </c>
      <c r="I34" s="90" t="s">
        <v>90</v>
      </c>
    </row>
    <row r="35" spans="2:9" s="73" customFormat="1" ht="12.75">
      <c r="B35" s="44"/>
      <c r="C35" s="43"/>
      <c r="D35" s="44"/>
      <c r="E35" s="45"/>
      <c r="F35" s="89">
        <v>40000</v>
      </c>
      <c r="G35" s="91"/>
      <c r="H35" s="89">
        <f>F35+G35</f>
        <v>40000</v>
      </c>
      <c r="I35" s="90" t="s">
        <v>91</v>
      </c>
    </row>
    <row r="36" spans="2:9" s="73" customFormat="1" ht="12.75">
      <c r="B36" s="44"/>
      <c r="C36" s="43"/>
      <c r="D36" s="44"/>
      <c r="E36" s="45"/>
      <c r="F36" s="89">
        <v>20000</v>
      </c>
      <c r="G36" s="309">
        <v>-20000</v>
      </c>
      <c r="H36" s="89">
        <f>F36+G36</f>
        <v>0</v>
      </c>
      <c r="I36" s="90" t="s">
        <v>192</v>
      </c>
    </row>
    <row r="37" spans="2:9" s="73" customFormat="1" ht="24">
      <c r="B37" s="44"/>
      <c r="C37" s="43"/>
      <c r="D37" s="44"/>
      <c r="E37" s="45"/>
      <c r="F37" s="89">
        <v>15000</v>
      </c>
      <c r="G37" s="91">
        <v>3000</v>
      </c>
      <c r="H37" s="89">
        <f>F37+G37</f>
        <v>18000</v>
      </c>
      <c r="I37" s="90" t="s">
        <v>92</v>
      </c>
    </row>
    <row r="38" spans="2:9" s="73" customFormat="1" ht="24">
      <c r="B38" s="44"/>
      <c r="C38" s="43"/>
      <c r="D38" s="44"/>
      <c r="E38" s="45"/>
      <c r="F38" s="89">
        <v>148000</v>
      </c>
      <c r="G38" s="91"/>
      <c r="H38" s="89">
        <f>F38+G38</f>
        <v>148000</v>
      </c>
      <c r="I38" s="90" t="s">
        <v>93</v>
      </c>
    </row>
    <row r="39" spans="2:9" s="73" customFormat="1" ht="12.75">
      <c r="B39" s="98">
        <v>700</v>
      </c>
      <c r="C39" s="98"/>
      <c r="D39" s="98"/>
      <c r="E39" s="99" t="s">
        <v>8</v>
      </c>
      <c r="F39" s="100">
        <f>F45+F40</f>
        <v>946585</v>
      </c>
      <c r="G39" s="101">
        <f>G45+G40</f>
        <v>195208</v>
      </c>
      <c r="H39" s="100">
        <f>H45+H40</f>
        <v>1141793</v>
      </c>
      <c r="I39" s="102"/>
    </row>
    <row r="40" spans="2:9" s="363" customFormat="1" ht="25.5">
      <c r="B40" s="53"/>
      <c r="C40" s="27">
        <v>70004</v>
      </c>
      <c r="D40" s="27"/>
      <c r="E40" s="30" t="s">
        <v>42</v>
      </c>
      <c r="F40" s="58">
        <f>F41</f>
        <v>260470</v>
      </c>
      <c r="G40" s="59">
        <f>G41</f>
        <v>0</v>
      </c>
      <c r="H40" s="58">
        <f>H41</f>
        <v>260470</v>
      </c>
      <c r="I40" s="95"/>
    </row>
    <row r="41" spans="2:9" s="71" customFormat="1" ht="77.25" customHeight="1">
      <c r="B41" s="103"/>
      <c r="C41" s="103"/>
      <c r="D41" s="104">
        <v>6210</v>
      </c>
      <c r="E41" s="105" t="s">
        <v>44</v>
      </c>
      <c r="F41" s="364">
        <f>SUM(F42:F44)</f>
        <v>260470</v>
      </c>
      <c r="G41" s="365">
        <f>SUM(G42:G44)</f>
        <v>0</v>
      </c>
      <c r="H41" s="364">
        <f>SUM(H42:H44)</f>
        <v>260470</v>
      </c>
      <c r="I41" s="97"/>
    </row>
    <row r="42" spans="2:9" s="71" customFormat="1" ht="24">
      <c r="B42" s="103"/>
      <c r="C42" s="103"/>
      <c r="D42" s="104"/>
      <c r="E42" s="105"/>
      <c r="F42" s="106">
        <v>16470</v>
      </c>
      <c r="G42" s="107"/>
      <c r="H42" s="89">
        <f>F42+G42</f>
        <v>16470</v>
      </c>
      <c r="I42" s="97" t="s">
        <v>94</v>
      </c>
    </row>
    <row r="43" spans="2:9" s="71" customFormat="1" ht="12.75">
      <c r="B43" s="103"/>
      <c r="C43" s="103"/>
      <c r="D43" s="104"/>
      <c r="E43" s="105"/>
      <c r="F43" s="106">
        <v>73200</v>
      </c>
      <c r="G43" s="107"/>
      <c r="H43" s="89">
        <f>F43+G43</f>
        <v>73200</v>
      </c>
      <c r="I43" s="97" t="s">
        <v>115</v>
      </c>
    </row>
    <row r="44" spans="2:9" s="71" customFormat="1" ht="12.75">
      <c r="B44" s="103"/>
      <c r="C44" s="103"/>
      <c r="D44" s="104"/>
      <c r="E44" s="105"/>
      <c r="F44" s="106">
        <v>170800</v>
      </c>
      <c r="G44" s="107"/>
      <c r="H44" s="89">
        <f>F44+G44</f>
        <v>170800</v>
      </c>
      <c r="I44" s="97" t="s">
        <v>116</v>
      </c>
    </row>
    <row r="45" spans="2:9" s="109" customFormat="1" ht="25.5">
      <c r="B45" s="53"/>
      <c r="C45" s="27">
        <v>70005</v>
      </c>
      <c r="D45" s="27"/>
      <c r="E45" s="30" t="s">
        <v>9</v>
      </c>
      <c r="F45" s="83">
        <f>SUM(F46:F47)</f>
        <v>686115</v>
      </c>
      <c r="G45" s="84">
        <f>SUM(G46:G47)</f>
        <v>195208</v>
      </c>
      <c r="H45" s="83">
        <f>SUM(H46:H47)</f>
        <v>881323</v>
      </c>
      <c r="I45" s="108"/>
    </row>
    <row r="46" spans="2:9" s="109" customFormat="1" ht="25.5">
      <c r="B46" s="53"/>
      <c r="C46" s="53"/>
      <c r="D46" s="44">
        <v>6050</v>
      </c>
      <c r="E46" s="45" t="s">
        <v>34</v>
      </c>
      <c r="F46" s="56">
        <v>53500</v>
      </c>
      <c r="G46" s="60"/>
      <c r="H46" s="89">
        <f>F46+G46</f>
        <v>53500</v>
      </c>
      <c r="I46" s="110" t="s">
        <v>95</v>
      </c>
    </row>
    <row r="47" spans="2:9" s="109" customFormat="1" ht="38.25">
      <c r="B47" s="53"/>
      <c r="C47" s="53"/>
      <c r="D47" s="44">
        <v>6060</v>
      </c>
      <c r="E47" s="45" t="s">
        <v>45</v>
      </c>
      <c r="F47" s="58">
        <f>SUM(F48:F49)</f>
        <v>632615</v>
      </c>
      <c r="G47" s="59">
        <f>SUM(G48:G49)</f>
        <v>195208</v>
      </c>
      <c r="H47" s="58">
        <f>SUM(H48:H49)</f>
        <v>827823</v>
      </c>
      <c r="I47" s="110"/>
    </row>
    <row r="48" spans="2:9" s="109" customFormat="1" ht="12.75">
      <c r="B48" s="53"/>
      <c r="C48" s="53"/>
      <c r="D48" s="44"/>
      <c r="E48" s="45"/>
      <c r="F48" s="56">
        <v>169865</v>
      </c>
      <c r="G48" s="60"/>
      <c r="H48" s="89">
        <f>F48+G48</f>
        <v>169865</v>
      </c>
      <c r="I48" s="110" t="s">
        <v>96</v>
      </c>
    </row>
    <row r="49" spans="2:9" s="109" customFormat="1" ht="12.75">
      <c r="B49" s="53"/>
      <c r="C49" s="53"/>
      <c r="D49" s="44"/>
      <c r="E49" s="45"/>
      <c r="F49" s="56">
        <v>462750</v>
      </c>
      <c r="G49" s="60">
        <f>137150+58058</f>
        <v>195208</v>
      </c>
      <c r="H49" s="89">
        <f>F49+G49</f>
        <v>657958</v>
      </c>
      <c r="I49" s="110" t="s">
        <v>97</v>
      </c>
    </row>
    <row r="50" spans="2:9" s="73" customFormat="1" ht="12.75">
      <c r="B50" s="48">
        <v>750</v>
      </c>
      <c r="C50" s="48"/>
      <c r="D50" s="48"/>
      <c r="E50" s="49" t="s">
        <v>12</v>
      </c>
      <c r="F50" s="92">
        <f>F51</f>
        <v>230046</v>
      </c>
      <c r="G50" s="93">
        <f>G51</f>
        <v>16000</v>
      </c>
      <c r="H50" s="92">
        <f>H51</f>
        <v>246046</v>
      </c>
      <c r="I50" s="94"/>
    </row>
    <row r="51" spans="2:9" s="73" customFormat="1" ht="12.75">
      <c r="B51" s="27"/>
      <c r="C51" s="27">
        <v>75023</v>
      </c>
      <c r="D51" s="27"/>
      <c r="E51" s="30" t="s">
        <v>14</v>
      </c>
      <c r="F51" s="83">
        <f>F52+F53+F56</f>
        <v>230046</v>
      </c>
      <c r="G51" s="84">
        <f>G52+G53+G56</f>
        <v>16000</v>
      </c>
      <c r="H51" s="83">
        <f>H52+H53+H56</f>
        <v>246046</v>
      </c>
      <c r="I51" s="85"/>
    </row>
    <row r="52" spans="2:9" s="73" customFormat="1" ht="36">
      <c r="B52" s="27"/>
      <c r="C52" s="27"/>
      <c r="D52" s="44">
        <v>6050</v>
      </c>
      <c r="E52" s="45" t="s">
        <v>34</v>
      </c>
      <c r="F52" s="66">
        <v>45000</v>
      </c>
      <c r="G52" s="111"/>
      <c r="H52" s="89">
        <f>F52+G52</f>
        <v>45000</v>
      </c>
      <c r="I52" s="97" t="s">
        <v>117</v>
      </c>
    </row>
    <row r="53" spans="2:9" s="73" customFormat="1" ht="38.25" customHeight="1">
      <c r="B53" s="27"/>
      <c r="C53" s="44"/>
      <c r="D53" s="44">
        <v>6060</v>
      </c>
      <c r="E53" s="45" t="s">
        <v>45</v>
      </c>
      <c r="F53" s="83">
        <f>SUM(F54:F55)</f>
        <v>82200</v>
      </c>
      <c r="G53" s="84">
        <f>SUM(G54:G55)</f>
        <v>0</v>
      </c>
      <c r="H53" s="83">
        <f>SUM(H54:H55)</f>
        <v>82200</v>
      </c>
      <c r="I53" s="85"/>
    </row>
    <row r="54" spans="2:9" s="73" customFormat="1" ht="12.75">
      <c r="B54" s="27"/>
      <c r="C54" s="44"/>
      <c r="D54" s="44"/>
      <c r="E54" s="45"/>
      <c r="F54" s="66">
        <v>30142</v>
      </c>
      <c r="G54" s="111"/>
      <c r="H54" s="89">
        <f>F54+G54</f>
        <v>30142</v>
      </c>
      <c r="I54" s="85" t="s">
        <v>98</v>
      </c>
    </row>
    <row r="55" spans="2:9" s="73" customFormat="1" ht="12.75">
      <c r="B55" s="27"/>
      <c r="C55" s="44"/>
      <c r="D55" s="44"/>
      <c r="E55" s="45"/>
      <c r="F55" s="66">
        <v>52058</v>
      </c>
      <c r="G55" s="111"/>
      <c r="H55" s="89">
        <f>F55+G55</f>
        <v>52058</v>
      </c>
      <c r="I55" s="85" t="s">
        <v>99</v>
      </c>
    </row>
    <row r="56" spans="2:9" s="73" customFormat="1" ht="14.25" customHeight="1">
      <c r="B56" s="27"/>
      <c r="C56" s="27">
        <v>75095</v>
      </c>
      <c r="D56" s="27"/>
      <c r="E56" s="30" t="s">
        <v>21</v>
      </c>
      <c r="F56" s="83">
        <f>F57+F60</f>
        <v>102846</v>
      </c>
      <c r="G56" s="84">
        <f>G57+G60</f>
        <v>16000</v>
      </c>
      <c r="H56" s="83">
        <f>H57+H60</f>
        <v>118846</v>
      </c>
      <c r="I56" s="85"/>
    </row>
    <row r="57" spans="2:9" s="73" customFormat="1" ht="25.5">
      <c r="B57" s="27"/>
      <c r="C57" s="44"/>
      <c r="D57" s="44">
        <v>6050</v>
      </c>
      <c r="E57" s="45" t="s">
        <v>34</v>
      </c>
      <c r="F57" s="87">
        <f>SUM(F58:F59)</f>
        <v>74646</v>
      </c>
      <c r="G57" s="88">
        <f>SUM(G58:G59)</f>
        <v>16000</v>
      </c>
      <c r="H57" s="83">
        <f>SUM(H58:H59)</f>
        <v>90646</v>
      </c>
      <c r="I57" s="112"/>
    </row>
    <row r="58" spans="2:9" s="73" customFormat="1" ht="12.75">
      <c r="B58" s="27"/>
      <c r="C58" s="44"/>
      <c r="D58" s="44"/>
      <c r="E58" s="45"/>
      <c r="F58" s="66">
        <v>74646</v>
      </c>
      <c r="G58" s="111"/>
      <c r="H58" s="89">
        <f>F58+G58</f>
        <v>74646</v>
      </c>
      <c r="I58" s="112" t="s">
        <v>100</v>
      </c>
    </row>
    <row r="59" spans="2:9" s="73" customFormat="1" ht="12.75">
      <c r="B59" s="27"/>
      <c r="C59" s="44"/>
      <c r="D59" s="44"/>
      <c r="E59" s="45"/>
      <c r="F59" s="66"/>
      <c r="G59" s="111">
        <v>16000</v>
      </c>
      <c r="H59" s="89">
        <f>F59+G59</f>
        <v>16000</v>
      </c>
      <c r="I59" s="366" t="s">
        <v>331</v>
      </c>
    </row>
    <row r="60" spans="2:9" s="73" customFormat="1" ht="38.25">
      <c r="B60" s="27"/>
      <c r="C60" s="44"/>
      <c r="D60" s="44">
        <v>6060</v>
      </c>
      <c r="E60" s="45" t="s">
        <v>45</v>
      </c>
      <c r="F60" s="83">
        <f>SUM(F61:F62)</f>
        <v>28200</v>
      </c>
      <c r="G60" s="84">
        <f>SUM(G61:G62)</f>
        <v>0</v>
      </c>
      <c r="H60" s="83">
        <f>SUM(H61:H62)</f>
        <v>28200</v>
      </c>
      <c r="I60" s="112"/>
    </row>
    <row r="61" spans="2:9" s="73" customFormat="1" ht="24">
      <c r="B61" s="27"/>
      <c r="C61" s="44"/>
      <c r="D61" s="44"/>
      <c r="E61" s="45"/>
      <c r="F61" s="66">
        <v>21000</v>
      </c>
      <c r="G61" s="111"/>
      <c r="H61" s="89">
        <f>F61+G61</f>
        <v>21000</v>
      </c>
      <c r="I61" s="112" t="s">
        <v>101</v>
      </c>
    </row>
    <row r="62" spans="2:9" s="73" customFormat="1" ht="12.75">
      <c r="B62" s="27"/>
      <c r="C62" s="44"/>
      <c r="D62" s="44"/>
      <c r="E62" s="45"/>
      <c r="F62" s="66">
        <v>7200</v>
      </c>
      <c r="G62" s="111"/>
      <c r="H62" s="89">
        <f>F62+G62</f>
        <v>7200</v>
      </c>
      <c r="I62" s="112" t="s">
        <v>193</v>
      </c>
    </row>
    <row r="63" spans="2:9" s="73" customFormat="1" ht="25.5">
      <c r="B63" s="48">
        <v>754</v>
      </c>
      <c r="C63" s="48"/>
      <c r="D63" s="48"/>
      <c r="E63" s="49" t="s">
        <v>62</v>
      </c>
      <c r="F63" s="92">
        <f>F66+F64</f>
        <v>8000</v>
      </c>
      <c r="G63" s="93">
        <f>G66+G64</f>
        <v>53000</v>
      </c>
      <c r="H63" s="92">
        <f>H66+H64</f>
        <v>61000</v>
      </c>
      <c r="I63" s="94"/>
    </row>
    <row r="64" spans="2:9" s="96" customFormat="1" ht="12.75">
      <c r="B64" s="53"/>
      <c r="C64" s="27">
        <v>75403</v>
      </c>
      <c r="D64" s="27"/>
      <c r="E64" s="30" t="s">
        <v>297</v>
      </c>
      <c r="F64" s="58">
        <f>F65</f>
        <v>0</v>
      </c>
      <c r="G64" s="59">
        <f>G65</f>
        <v>53000</v>
      </c>
      <c r="H64" s="58">
        <f>H65</f>
        <v>53000</v>
      </c>
      <c r="I64" s="95"/>
    </row>
    <row r="65" spans="2:9" s="96" customFormat="1" ht="38.25">
      <c r="B65" s="53"/>
      <c r="C65" s="53"/>
      <c r="D65" s="44">
        <v>6060</v>
      </c>
      <c r="E65" s="45" t="s">
        <v>45</v>
      </c>
      <c r="F65" s="58"/>
      <c r="G65" s="60">
        <v>53000</v>
      </c>
      <c r="H65" s="66">
        <f>F65+G65</f>
        <v>53000</v>
      </c>
      <c r="I65" s="366" t="s">
        <v>298</v>
      </c>
    </row>
    <row r="66" spans="2:9" s="73" customFormat="1" ht="12.75">
      <c r="B66" s="27"/>
      <c r="C66" s="27">
        <v>75412</v>
      </c>
      <c r="D66" s="27"/>
      <c r="E66" s="30" t="s">
        <v>63</v>
      </c>
      <c r="F66" s="83">
        <f>SUM(F67:F67)</f>
        <v>8000</v>
      </c>
      <c r="G66" s="84">
        <f>SUM(G67:G67)</f>
        <v>0</v>
      </c>
      <c r="H66" s="83">
        <f>SUM(H67:H67)</f>
        <v>8000</v>
      </c>
      <c r="I66" s="85"/>
    </row>
    <row r="67" spans="2:9" s="73" customFormat="1" ht="63.75" customHeight="1">
      <c r="B67" s="27"/>
      <c r="C67" s="27"/>
      <c r="D67" s="44">
        <v>6230</v>
      </c>
      <c r="E67" s="45" t="s">
        <v>64</v>
      </c>
      <c r="F67" s="66">
        <v>8000</v>
      </c>
      <c r="G67" s="111"/>
      <c r="H67" s="66">
        <f>F67+G67</f>
        <v>8000</v>
      </c>
      <c r="I67" s="85" t="s">
        <v>102</v>
      </c>
    </row>
    <row r="68" spans="2:9" s="73" customFormat="1" ht="12.75">
      <c r="B68" s="48">
        <v>801</v>
      </c>
      <c r="C68" s="48"/>
      <c r="D68" s="48"/>
      <c r="E68" s="49" t="s">
        <v>16</v>
      </c>
      <c r="F68" s="92">
        <f>F71+F79+F69+F87</f>
        <v>117101</v>
      </c>
      <c r="G68" s="311">
        <f>G71+G79+G69+G87</f>
        <v>-4724</v>
      </c>
      <c r="H68" s="92">
        <f>H71+H79+H69+H87</f>
        <v>112377</v>
      </c>
      <c r="I68" s="94"/>
    </row>
    <row r="69" spans="2:9" s="96" customFormat="1" ht="12.75">
      <c r="B69" s="53"/>
      <c r="C69" s="27">
        <v>80101</v>
      </c>
      <c r="D69" s="27"/>
      <c r="E69" s="30" t="s">
        <v>17</v>
      </c>
      <c r="F69" s="58">
        <f>F70</f>
        <v>14333</v>
      </c>
      <c r="G69" s="59">
        <f>G70</f>
        <v>2000</v>
      </c>
      <c r="H69" s="58">
        <f>H70</f>
        <v>16333</v>
      </c>
      <c r="I69" s="95"/>
    </row>
    <row r="70" spans="2:9" s="73" customFormat="1" ht="38.25">
      <c r="B70" s="27"/>
      <c r="C70" s="44"/>
      <c r="D70" s="44">
        <v>6060</v>
      </c>
      <c r="E70" s="45" t="s">
        <v>45</v>
      </c>
      <c r="F70" s="66">
        <v>14333</v>
      </c>
      <c r="G70" s="111">
        <v>2000</v>
      </c>
      <c r="H70" s="89">
        <f>F70+G70</f>
        <v>16333</v>
      </c>
      <c r="I70" s="85" t="s">
        <v>103</v>
      </c>
    </row>
    <row r="71" spans="2:9" s="73" customFormat="1" ht="12.75">
      <c r="B71" s="27"/>
      <c r="C71" s="27">
        <v>80104</v>
      </c>
      <c r="D71" s="27"/>
      <c r="E71" s="30" t="s">
        <v>19</v>
      </c>
      <c r="F71" s="83">
        <f>F72+F76</f>
        <v>36100</v>
      </c>
      <c r="G71" s="84">
        <f>G72+G76</f>
        <v>615</v>
      </c>
      <c r="H71" s="83">
        <f>H72+H76</f>
        <v>36715</v>
      </c>
      <c r="I71" s="85"/>
    </row>
    <row r="72" spans="2:9" s="73" customFormat="1" ht="25.5">
      <c r="B72" s="27"/>
      <c r="C72" s="44"/>
      <c r="D72" s="44">
        <v>6050</v>
      </c>
      <c r="E72" s="45" t="s">
        <v>34</v>
      </c>
      <c r="F72" s="87">
        <f>SUM(F73:F75)</f>
        <v>30000</v>
      </c>
      <c r="G72" s="88">
        <f>SUM(G73:G75)</f>
        <v>615</v>
      </c>
      <c r="H72" s="83">
        <f>SUM(H73:H75)</f>
        <v>30615</v>
      </c>
      <c r="I72" s="85"/>
    </row>
    <row r="73" spans="2:9" s="73" customFormat="1" ht="12.75">
      <c r="B73" s="27"/>
      <c r="C73" s="44"/>
      <c r="D73" s="44"/>
      <c r="E73" s="45"/>
      <c r="F73" s="66">
        <v>0</v>
      </c>
      <c r="G73" s="111"/>
      <c r="H73" s="89">
        <f>F73+G73</f>
        <v>0</v>
      </c>
      <c r="I73" s="85" t="s">
        <v>104</v>
      </c>
    </row>
    <row r="74" spans="2:9" s="73" customFormat="1" ht="12.75">
      <c r="B74" s="27"/>
      <c r="C74" s="44"/>
      <c r="D74" s="44"/>
      <c r="E74" s="45"/>
      <c r="F74" s="66">
        <v>8000</v>
      </c>
      <c r="G74" s="150">
        <v>-1916</v>
      </c>
      <c r="H74" s="89">
        <f>F74+G74</f>
        <v>6084</v>
      </c>
      <c r="I74" s="85" t="s">
        <v>118</v>
      </c>
    </row>
    <row r="75" spans="2:9" s="73" customFormat="1" ht="12.75">
      <c r="B75" s="27"/>
      <c r="C75" s="44"/>
      <c r="D75" s="44"/>
      <c r="E75" s="45"/>
      <c r="F75" s="66">
        <v>22000</v>
      </c>
      <c r="G75" s="111">
        <v>2531</v>
      </c>
      <c r="H75" s="89">
        <f>F75+G75</f>
        <v>24531</v>
      </c>
      <c r="I75" s="113" t="s">
        <v>105</v>
      </c>
    </row>
    <row r="76" spans="2:9" s="73" customFormat="1" ht="27.75" customHeight="1">
      <c r="B76" s="27"/>
      <c r="C76" s="44"/>
      <c r="D76" s="44">
        <v>6060</v>
      </c>
      <c r="E76" s="45" t="s">
        <v>45</v>
      </c>
      <c r="F76" s="83">
        <f>SUM(F77:F78)</f>
        <v>6100</v>
      </c>
      <c r="G76" s="84">
        <f>SUM(G77:G78)</f>
        <v>0</v>
      </c>
      <c r="H76" s="83">
        <f>SUM(H77:H78)</f>
        <v>6100</v>
      </c>
      <c r="I76" s="114"/>
    </row>
    <row r="77" spans="2:9" s="73" customFormat="1" ht="12.75">
      <c r="B77" s="27"/>
      <c r="C77" s="44"/>
      <c r="D77" s="44"/>
      <c r="E77" s="45"/>
      <c r="F77" s="66">
        <v>3000</v>
      </c>
      <c r="G77" s="111"/>
      <c r="H77" s="89">
        <f>F77+G77</f>
        <v>3000</v>
      </c>
      <c r="I77" s="114" t="s">
        <v>106</v>
      </c>
    </row>
    <row r="78" spans="2:9" s="73" customFormat="1" ht="12.75">
      <c r="B78" s="27"/>
      <c r="C78" s="44"/>
      <c r="D78" s="44"/>
      <c r="E78" s="45"/>
      <c r="F78" s="66">
        <v>3100</v>
      </c>
      <c r="G78" s="111"/>
      <c r="H78" s="89">
        <f>F78+G78</f>
        <v>3100</v>
      </c>
      <c r="I78" s="114" t="s">
        <v>187</v>
      </c>
    </row>
    <row r="79" spans="2:9" s="73" customFormat="1" ht="12.75">
      <c r="B79" s="27"/>
      <c r="C79" s="27">
        <v>80110</v>
      </c>
      <c r="D79" s="27"/>
      <c r="E79" s="30" t="s">
        <v>20</v>
      </c>
      <c r="F79" s="83">
        <f>F80+F84</f>
        <v>58657</v>
      </c>
      <c r="G79" s="308">
        <f>G80+G84</f>
        <v>-7339</v>
      </c>
      <c r="H79" s="83">
        <f>H80+H84</f>
        <v>51318</v>
      </c>
      <c r="I79" s="85"/>
    </row>
    <row r="80" spans="2:9" s="73" customFormat="1" ht="25.5">
      <c r="B80" s="27"/>
      <c r="C80" s="27"/>
      <c r="D80" s="44">
        <v>6050</v>
      </c>
      <c r="E80" s="45" t="s">
        <v>34</v>
      </c>
      <c r="F80" s="83">
        <f>SUM(F81:F83)</f>
        <v>52300</v>
      </c>
      <c r="G80" s="308">
        <f>SUM(G81:G83)</f>
        <v>-7339</v>
      </c>
      <c r="H80" s="83">
        <f>SUM(H81:H83)</f>
        <v>44961</v>
      </c>
      <c r="I80" s="85"/>
    </row>
    <row r="81" spans="2:9" s="73" customFormat="1" ht="12.75">
      <c r="B81" s="27"/>
      <c r="C81" s="27"/>
      <c r="D81" s="44"/>
      <c r="E81" s="45"/>
      <c r="F81" s="66">
        <v>19897</v>
      </c>
      <c r="G81" s="150">
        <v>-7320</v>
      </c>
      <c r="H81" s="89">
        <f>F81+G81</f>
        <v>12577</v>
      </c>
      <c r="I81" s="85" t="s">
        <v>194</v>
      </c>
    </row>
    <row r="82" spans="2:9" s="73" customFormat="1" ht="12.75">
      <c r="B82" s="27"/>
      <c r="C82" s="27"/>
      <c r="D82" s="44"/>
      <c r="E82" s="45"/>
      <c r="F82" s="66">
        <v>15913</v>
      </c>
      <c r="G82" s="150"/>
      <c r="H82" s="89">
        <f>F82+G82</f>
        <v>15913</v>
      </c>
      <c r="I82" s="85" t="s">
        <v>195</v>
      </c>
    </row>
    <row r="83" spans="2:9" s="73" customFormat="1" ht="12.75">
      <c r="B83" s="27"/>
      <c r="C83" s="27"/>
      <c r="D83" s="44"/>
      <c r="E83" s="45"/>
      <c r="F83" s="66">
        <v>16490</v>
      </c>
      <c r="G83" s="150">
        <v>-19</v>
      </c>
      <c r="H83" s="89">
        <f>F83+G83</f>
        <v>16471</v>
      </c>
      <c r="I83" s="85" t="s">
        <v>196</v>
      </c>
    </row>
    <row r="84" spans="2:9" s="73" customFormat="1" ht="31.5" customHeight="1">
      <c r="B84" s="27"/>
      <c r="C84" s="27"/>
      <c r="D84" s="44">
        <v>6060</v>
      </c>
      <c r="E84" s="45" t="s">
        <v>45</v>
      </c>
      <c r="F84" s="83">
        <f>SUM(F85:F86)</f>
        <v>6357</v>
      </c>
      <c r="G84" s="84">
        <f>SUM(G85:G86)</f>
        <v>0</v>
      </c>
      <c r="H84" s="83">
        <f>SUM(H85:H86)</f>
        <v>6357</v>
      </c>
      <c r="I84" s="85"/>
    </row>
    <row r="85" spans="2:9" s="73" customFormat="1" ht="12.75">
      <c r="B85" s="27"/>
      <c r="C85" s="27"/>
      <c r="D85" s="44"/>
      <c r="E85" s="45"/>
      <c r="F85" s="66">
        <v>2129</v>
      </c>
      <c r="G85" s="111"/>
      <c r="H85" s="89">
        <f>F85+G85</f>
        <v>2129</v>
      </c>
      <c r="I85" s="85" t="s">
        <v>107</v>
      </c>
    </row>
    <row r="86" spans="2:9" s="73" customFormat="1" ht="12.75">
      <c r="B86" s="27"/>
      <c r="C86" s="27"/>
      <c r="D86" s="44"/>
      <c r="E86" s="45"/>
      <c r="F86" s="66">
        <v>4228</v>
      </c>
      <c r="G86" s="111"/>
      <c r="H86" s="89">
        <f>F86+G86</f>
        <v>4228</v>
      </c>
      <c r="I86" s="85" t="s">
        <v>108</v>
      </c>
    </row>
    <row r="87" spans="2:9" s="73" customFormat="1" ht="25.5">
      <c r="B87" s="27"/>
      <c r="C87" s="27">
        <v>80114</v>
      </c>
      <c r="D87" s="27"/>
      <c r="E87" s="30" t="s">
        <v>66</v>
      </c>
      <c r="F87" s="83">
        <f>F88</f>
        <v>8011</v>
      </c>
      <c r="G87" s="84">
        <f>G88</f>
        <v>0</v>
      </c>
      <c r="H87" s="83">
        <f>H88</f>
        <v>8011</v>
      </c>
      <c r="I87" s="85"/>
    </row>
    <row r="88" spans="2:9" s="73" customFormat="1" ht="38.25">
      <c r="B88" s="27"/>
      <c r="C88" s="27"/>
      <c r="D88" s="44">
        <v>6060</v>
      </c>
      <c r="E88" s="45" t="s">
        <v>45</v>
      </c>
      <c r="F88" s="87">
        <f>SUM(F89:F90)</f>
        <v>8011</v>
      </c>
      <c r="G88" s="88">
        <f>SUM(G89:G90)</f>
        <v>0</v>
      </c>
      <c r="H88" s="87">
        <f>SUM(H89:H90)</f>
        <v>8011</v>
      </c>
      <c r="I88" s="85"/>
    </row>
    <row r="89" spans="2:9" s="73" customFormat="1" ht="12.75">
      <c r="B89" s="27"/>
      <c r="C89" s="27"/>
      <c r="D89" s="44"/>
      <c r="E89" s="45"/>
      <c r="F89" s="66">
        <v>6305</v>
      </c>
      <c r="G89" s="111"/>
      <c r="H89" s="89">
        <f>F89+G89</f>
        <v>6305</v>
      </c>
      <c r="I89" s="85" t="s">
        <v>106</v>
      </c>
    </row>
    <row r="90" spans="2:9" s="73" customFormat="1" ht="12.75">
      <c r="B90" s="27"/>
      <c r="C90" s="27"/>
      <c r="D90" s="44"/>
      <c r="E90" s="45"/>
      <c r="F90" s="66">
        <v>1706</v>
      </c>
      <c r="G90" s="111"/>
      <c r="H90" s="89">
        <f>F90+G90</f>
        <v>1706</v>
      </c>
      <c r="I90" s="85" t="s">
        <v>107</v>
      </c>
    </row>
    <row r="91" spans="2:9" s="73" customFormat="1" ht="12.75">
      <c r="B91" s="47">
        <v>851</v>
      </c>
      <c r="C91" s="65"/>
      <c r="D91" s="65"/>
      <c r="E91" s="49" t="s">
        <v>109</v>
      </c>
      <c r="F91" s="92">
        <f aca="true" t="shared" si="1" ref="F91:H92">F92</f>
        <v>30000</v>
      </c>
      <c r="G91" s="311">
        <f t="shared" si="1"/>
        <v>-30000</v>
      </c>
      <c r="H91" s="92">
        <f t="shared" si="1"/>
        <v>0</v>
      </c>
      <c r="I91" s="94"/>
    </row>
    <row r="92" spans="2:9" s="73" customFormat="1" ht="25.5">
      <c r="B92" s="39"/>
      <c r="C92" s="27">
        <v>85154</v>
      </c>
      <c r="D92" s="27"/>
      <c r="E92" s="30" t="s">
        <v>110</v>
      </c>
      <c r="F92" s="83">
        <f t="shared" si="1"/>
        <v>30000</v>
      </c>
      <c r="G92" s="308">
        <f t="shared" si="1"/>
        <v>-30000</v>
      </c>
      <c r="H92" s="83">
        <f t="shared" si="1"/>
        <v>0</v>
      </c>
      <c r="I92" s="85"/>
    </row>
    <row r="93" spans="2:9" s="73" customFormat="1" ht="51">
      <c r="B93" s="27"/>
      <c r="C93" s="27"/>
      <c r="D93" s="44">
        <v>6170</v>
      </c>
      <c r="E93" s="45" t="s">
        <v>111</v>
      </c>
      <c r="F93" s="66">
        <v>30000</v>
      </c>
      <c r="G93" s="150">
        <v>-30000</v>
      </c>
      <c r="H93" s="89">
        <f>F93+G93</f>
        <v>0</v>
      </c>
      <c r="I93" s="85"/>
    </row>
    <row r="94" spans="2:9" s="73" customFormat="1" ht="12.75">
      <c r="B94" s="47">
        <v>852</v>
      </c>
      <c r="C94" s="65"/>
      <c r="D94" s="65"/>
      <c r="E94" s="49" t="s">
        <v>205</v>
      </c>
      <c r="F94" s="92">
        <f aca="true" t="shared" si="2" ref="F94:H95">F95</f>
        <v>4000</v>
      </c>
      <c r="G94" s="93">
        <f t="shared" si="2"/>
        <v>0</v>
      </c>
      <c r="H94" s="92">
        <f t="shared" si="2"/>
        <v>4000</v>
      </c>
      <c r="I94" s="94"/>
    </row>
    <row r="95" spans="2:9" s="73" customFormat="1" ht="12.75">
      <c r="B95" s="27"/>
      <c r="C95" s="27">
        <v>85219</v>
      </c>
      <c r="D95" s="27"/>
      <c r="E95" s="30" t="s">
        <v>209</v>
      </c>
      <c r="F95" s="83">
        <f t="shared" si="2"/>
        <v>4000</v>
      </c>
      <c r="G95" s="84">
        <f t="shared" si="2"/>
        <v>0</v>
      </c>
      <c r="H95" s="83">
        <f t="shared" si="2"/>
        <v>4000</v>
      </c>
      <c r="I95" s="85"/>
    </row>
    <row r="96" spans="2:9" s="73" customFormat="1" ht="38.25">
      <c r="B96" s="27"/>
      <c r="C96" s="27"/>
      <c r="D96" s="44">
        <v>6060</v>
      </c>
      <c r="E96" s="45" t="s">
        <v>45</v>
      </c>
      <c r="F96" s="66">
        <v>4000</v>
      </c>
      <c r="G96" s="111"/>
      <c r="H96" s="89">
        <f>F96+G96</f>
        <v>4000</v>
      </c>
      <c r="I96" s="85" t="s">
        <v>237</v>
      </c>
    </row>
    <row r="97" spans="2:9" s="73" customFormat="1" ht="25.5">
      <c r="B97" s="48">
        <v>900</v>
      </c>
      <c r="C97" s="48"/>
      <c r="D97" s="48"/>
      <c r="E97" s="49" t="s">
        <v>22</v>
      </c>
      <c r="F97" s="92">
        <f>F100+F102+F98</f>
        <v>150000</v>
      </c>
      <c r="G97" s="93">
        <f>G100+G102+G98</f>
        <v>0</v>
      </c>
      <c r="H97" s="92">
        <f>H100+H102+H98</f>
        <v>150000</v>
      </c>
      <c r="I97" s="94"/>
    </row>
    <row r="98" spans="2:9" s="96" customFormat="1" ht="25.5">
      <c r="B98" s="53"/>
      <c r="C98" s="27">
        <v>90001</v>
      </c>
      <c r="D98" s="27"/>
      <c r="E98" s="30" t="s">
        <v>67</v>
      </c>
      <c r="F98" s="58">
        <f>F99</f>
        <v>0</v>
      </c>
      <c r="G98" s="59">
        <f>G99</f>
        <v>0</v>
      </c>
      <c r="H98" s="58">
        <f>H99</f>
        <v>0</v>
      </c>
      <c r="I98" s="95"/>
    </row>
    <row r="99" spans="2:9" s="96" customFormat="1" ht="25.5">
      <c r="B99" s="53"/>
      <c r="C99" s="53"/>
      <c r="D99" s="44">
        <v>6050</v>
      </c>
      <c r="E99" s="45" t="s">
        <v>34</v>
      </c>
      <c r="F99" s="56">
        <v>0</v>
      </c>
      <c r="G99" s="60"/>
      <c r="H99" s="89">
        <f>F99+G99</f>
        <v>0</v>
      </c>
      <c r="I99" s="95" t="s">
        <v>112</v>
      </c>
    </row>
    <row r="100" spans="2:9" s="73" customFormat="1" ht="12.75">
      <c r="B100" s="27"/>
      <c r="C100" s="27">
        <v>90015</v>
      </c>
      <c r="D100" s="27"/>
      <c r="E100" s="30" t="s">
        <v>68</v>
      </c>
      <c r="F100" s="83">
        <f>SUM(F101:F101)</f>
        <v>148000</v>
      </c>
      <c r="G100" s="84">
        <f>SUM(G101:G101)</f>
        <v>0</v>
      </c>
      <c r="H100" s="83">
        <f>SUM(H101:H101)</f>
        <v>148000</v>
      </c>
      <c r="I100" s="85"/>
    </row>
    <row r="101" spans="2:9" s="73" customFormat="1" ht="28.5" customHeight="1">
      <c r="B101" s="27"/>
      <c r="C101" s="44"/>
      <c r="D101" s="44">
        <v>6050</v>
      </c>
      <c r="E101" s="45" t="s">
        <v>34</v>
      </c>
      <c r="F101" s="66">
        <v>148000</v>
      </c>
      <c r="G101" s="111"/>
      <c r="H101" s="89">
        <f>F101+G101</f>
        <v>148000</v>
      </c>
      <c r="I101" s="85" t="s">
        <v>113</v>
      </c>
    </row>
    <row r="102" spans="2:9" s="73" customFormat="1" ht="12.75">
      <c r="B102" s="27"/>
      <c r="C102" s="27">
        <v>90095</v>
      </c>
      <c r="D102" s="27"/>
      <c r="E102" s="30" t="s">
        <v>21</v>
      </c>
      <c r="F102" s="83">
        <f>SUM(F103:F103)</f>
        <v>2000</v>
      </c>
      <c r="G102" s="84">
        <f>SUM(G103:G103)</f>
        <v>0</v>
      </c>
      <c r="H102" s="83">
        <f>SUM(H103:H103)</f>
        <v>2000</v>
      </c>
      <c r="I102" s="85"/>
    </row>
    <row r="103" spans="2:9" s="73" customFormat="1" ht="25.5">
      <c r="B103" s="27"/>
      <c r="C103" s="44"/>
      <c r="D103" s="44">
        <v>6050</v>
      </c>
      <c r="E103" s="45" t="s">
        <v>34</v>
      </c>
      <c r="F103" s="66">
        <v>2000</v>
      </c>
      <c r="G103" s="111"/>
      <c r="H103" s="89">
        <f>F103+G103</f>
        <v>2000</v>
      </c>
      <c r="I103" s="85" t="s">
        <v>114</v>
      </c>
    </row>
    <row r="104" spans="2:9" s="73" customFormat="1" ht="12.75">
      <c r="B104" s="115"/>
      <c r="C104" s="116"/>
      <c r="D104" s="116"/>
      <c r="E104" s="117" t="s">
        <v>69</v>
      </c>
      <c r="F104" s="118">
        <f>F7+F29+F39+F50+F63+F68+F97+F91+F94</f>
        <v>4356615</v>
      </c>
      <c r="G104" s="218">
        <f>G7+G29+G39+G50+G63+G68+G97+G91+G94</f>
        <v>329226</v>
      </c>
      <c r="H104" s="118">
        <f>H7+H29+H39+H50+H63+H68+H97+H91+H94</f>
        <v>4685841</v>
      </c>
      <c r="I104" s="119"/>
    </row>
    <row r="105" spans="6:9" s="73" customFormat="1" ht="12.75">
      <c r="F105" s="120"/>
      <c r="G105" s="121"/>
      <c r="H105" s="120"/>
      <c r="I105" s="122"/>
    </row>
    <row r="106" spans="5:9" s="73" customFormat="1" ht="15.75">
      <c r="E106" s="123"/>
      <c r="F106" s="124"/>
      <c r="G106" s="125"/>
      <c r="H106" s="124"/>
      <c r="I106" s="122"/>
    </row>
    <row r="107" spans="4:9" s="73" customFormat="1" ht="12.75">
      <c r="D107" s="126"/>
      <c r="E107" s="120"/>
      <c r="G107" s="127"/>
      <c r="I107" s="128"/>
    </row>
    <row r="108" spans="7:9" s="73" customFormat="1" ht="12.75">
      <c r="G108" s="127"/>
      <c r="I108" s="128"/>
    </row>
    <row r="109" spans="5:9" s="73" customFormat="1" ht="12.75">
      <c r="E109" s="120"/>
      <c r="F109" s="120"/>
      <c r="G109" s="121"/>
      <c r="H109" s="120"/>
      <c r="I109" s="128"/>
    </row>
    <row r="110" spans="6:9" s="73" customFormat="1" ht="12.75">
      <c r="F110" s="120"/>
      <c r="G110" s="121"/>
      <c r="H110" s="120"/>
      <c r="I110" s="128"/>
    </row>
    <row r="111" spans="6:9" s="73" customFormat="1" ht="12.75">
      <c r="F111" s="120"/>
      <c r="G111" s="121"/>
      <c r="H111" s="120"/>
      <c r="I111" s="128"/>
    </row>
    <row r="112" spans="6:9" s="73" customFormat="1" ht="12.75">
      <c r="F112" s="120"/>
      <c r="G112" s="121"/>
      <c r="H112" s="120"/>
      <c r="I112" s="128"/>
    </row>
    <row r="113" spans="6:9" s="73" customFormat="1" ht="12.75">
      <c r="F113" s="120"/>
      <c r="G113" s="121"/>
      <c r="H113" s="120"/>
      <c r="I113" s="128"/>
    </row>
    <row r="114" spans="6:9" s="73" customFormat="1" ht="12.75">
      <c r="F114" s="120"/>
      <c r="G114" s="121"/>
      <c r="H114" s="120"/>
      <c r="I114" s="128"/>
    </row>
    <row r="115" spans="6:9" s="73" customFormat="1" ht="12.75">
      <c r="F115" s="120"/>
      <c r="G115" s="121"/>
      <c r="H115" s="120"/>
      <c r="I115" s="128"/>
    </row>
    <row r="116" spans="6:9" s="73" customFormat="1" ht="12.75">
      <c r="F116" s="120"/>
      <c r="G116" s="121"/>
      <c r="H116" s="120"/>
      <c r="I116" s="128"/>
    </row>
    <row r="117" spans="7:9" s="73" customFormat="1" ht="12.75">
      <c r="G117" s="127"/>
      <c r="I117" s="128"/>
    </row>
    <row r="118" spans="7:9" s="73" customFormat="1" ht="12.75">
      <c r="G118" s="127"/>
      <c r="I118" s="128"/>
    </row>
  </sheetData>
  <mergeCells count="10">
    <mergeCell ref="I32:I33"/>
    <mergeCell ref="I1:I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31"/>
  <sheetViews>
    <sheetView workbookViewId="0" topLeftCell="A1">
      <selection activeCell="D9" sqref="D9"/>
    </sheetView>
  </sheetViews>
  <sheetFormatPr defaultColWidth="9.140625" defaultRowHeight="34.5" customHeight="1"/>
  <cols>
    <col min="1" max="1" width="1.8515625" style="370" customWidth="1"/>
    <col min="2" max="2" width="3.57421875" style="370" customWidth="1"/>
    <col min="3" max="3" width="36.00390625" style="370" customWidth="1"/>
    <col min="4" max="4" width="11.8515625" style="370" customWidth="1"/>
    <col min="5" max="5" width="9.8515625" style="370" customWidth="1"/>
    <col min="6" max="6" width="14.28125" style="370" customWidth="1"/>
    <col min="7" max="7" width="14.57421875" style="370" hidden="1" customWidth="1"/>
    <col min="8" max="8" width="14.28125" style="370" customWidth="1"/>
    <col min="9" max="9" width="13.421875" style="370" customWidth="1"/>
    <col min="10" max="12" width="12.7109375" style="370" hidden="1" customWidth="1"/>
    <col min="13" max="13" width="12.8515625" style="370" hidden="1" customWidth="1"/>
    <col min="14" max="14" width="14.421875" style="370" hidden="1" customWidth="1"/>
    <col min="15" max="15" width="0.2890625" style="370" hidden="1" customWidth="1"/>
    <col min="16" max="16" width="14.7109375" style="370" customWidth="1"/>
    <col min="17" max="17" width="11.421875" style="370" hidden="1" customWidth="1"/>
    <col min="18" max="18" width="13.8515625" style="370" hidden="1" customWidth="1"/>
    <col min="19" max="19" width="14.140625" style="370" hidden="1" customWidth="1"/>
    <col min="20" max="20" width="0.2890625" style="370" customWidth="1"/>
    <col min="21" max="21" width="14.140625" style="370" customWidth="1"/>
    <col min="22" max="22" width="8.421875" style="370" customWidth="1"/>
    <col min="23" max="23" width="7.28125" style="370" customWidth="1"/>
    <col min="24" max="24" width="10.140625" style="370" customWidth="1"/>
    <col min="25" max="25" width="13.57421875" style="370" customWidth="1"/>
    <col min="26" max="26" width="11.421875" style="370" customWidth="1"/>
    <col min="27" max="27" width="6.28125" style="370" customWidth="1"/>
    <col min="28" max="28" width="13.140625" style="370" customWidth="1"/>
    <col min="29" max="31" width="9.140625" style="370" hidden="1" customWidth="1"/>
    <col min="32" max="32" width="10.421875" style="370" hidden="1" customWidth="1"/>
    <col min="33" max="35" width="9.140625" style="370" hidden="1" customWidth="1"/>
    <col min="36" max="36" width="10.7109375" style="370" hidden="1" customWidth="1"/>
    <col min="37" max="39" width="9.140625" style="370" hidden="1" customWidth="1"/>
    <col min="40" max="40" width="11.00390625" style="370" hidden="1" customWidth="1"/>
    <col min="41" max="43" width="9.140625" style="370" hidden="1" customWidth="1"/>
    <col min="44" max="44" width="11.00390625" style="370" hidden="1" customWidth="1"/>
    <col min="45" max="47" width="9.140625" style="370" hidden="1" customWidth="1"/>
    <col min="48" max="48" width="11.28125" style="370" hidden="1" customWidth="1"/>
    <col min="49" max="51" width="9.140625" style="370" hidden="1" customWidth="1"/>
    <col min="52" max="52" width="10.8515625" style="370" hidden="1" customWidth="1"/>
    <col min="53" max="53" width="14.421875" style="370" customWidth="1"/>
    <col min="54" max="54" width="12.421875" style="370" customWidth="1"/>
    <col min="55" max="55" width="6.57421875" style="370" customWidth="1"/>
    <col min="56" max="56" width="12.28125" style="370" customWidth="1"/>
    <col min="57" max="16384" width="9.140625" style="370" customWidth="1"/>
  </cols>
  <sheetData>
    <row r="1" spans="3:60" s="70" customFormat="1" ht="26.25" customHeight="1">
      <c r="C1" s="367" t="s">
        <v>332</v>
      </c>
      <c r="D1" s="367"/>
      <c r="E1" s="367"/>
      <c r="F1" s="367"/>
      <c r="G1" s="367"/>
      <c r="H1" s="73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569"/>
      <c r="AB1" s="569"/>
      <c r="AC1" s="569"/>
      <c r="AD1" s="569"/>
      <c r="AE1" s="569"/>
      <c r="AF1" s="569"/>
      <c r="BB1" s="524" t="s">
        <v>333</v>
      </c>
      <c r="BC1" s="524"/>
      <c r="BD1" s="524"/>
      <c r="BE1" s="369"/>
      <c r="BF1" s="369"/>
      <c r="BG1" s="369"/>
      <c r="BH1" s="369"/>
    </row>
    <row r="2" spans="4:56" ht="11.25" customHeight="1">
      <c r="D2" s="371"/>
      <c r="G2" s="73"/>
      <c r="H2" s="73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BB2" s="570"/>
      <c r="BC2" s="570"/>
      <c r="BD2" s="570"/>
    </row>
    <row r="3" spans="2:56" ht="13.5" customHeight="1">
      <c r="B3" s="552" t="s">
        <v>334</v>
      </c>
      <c r="C3" s="552" t="s">
        <v>335</v>
      </c>
      <c r="D3" s="573" t="s">
        <v>336</v>
      </c>
      <c r="E3" s="552" t="s">
        <v>337</v>
      </c>
      <c r="F3" s="576" t="s">
        <v>338</v>
      </c>
      <c r="G3" s="577"/>
      <c r="H3" s="577"/>
      <c r="I3" s="577"/>
      <c r="J3" s="577"/>
      <c r="K3" s="577"/>
      <c r="L3" s="577"/>
      <c r="M3" s="577"/>
      <c r="N3" s="577"/>
      <c r="O3" s="577"/>
      <c r="P3" s="578"/>
      <c r="Q3" s="579" t="s">
        <v>339</v>
      </c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1"/>
      <c r="AC3" s="373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5"/>
      <c r="BA3" s="376"/>
      <c r="BB3" s="377"/>
      <c r="BC3" s="378"/>
      <c r="BD3" s="379"/>
    </row>
    <row r="4" spans="2:56" ht="21" customHeight="1">
      <c r="B4" s="571"/>
      <c r="C4" s="571"/>
      <c r="D4" s="574"/>
      <c r="E4" s="571"/>
      <c r="F4" s="546" t="s">
        <v>340</v>
      </c>
      <c r="G4" s="368"/>
      <c r="H4" s="380"/>
      <c r="I4" s="380"/>
      <c r="J4" s="380"/>
      <c r="K4" s="380"/>
      <c r="L4" s="380"/>
      <c r="M4" s="380"/>
      <c r="N4" s="380"/>
      <c r="O4" s="381"/>
      <c r="P4" s="380"/>
      <c r="Q4" s="584">
        <v>2005</v>
      </c>
      <c r="R4" s="584"/>
      <c r="S4" s="584"/>
      <c r="T4" s="585"/>
      <c r="U4" s="383"/>
      <c r="V4" s="384">
        <v>2007</v>
      </c>
      <c r="W4" s="384"/>
      <c r="X4" s="385"/>
      <c r="Y4" s="557">
        <v>2008</v>
      </c>
      <c r="Z4" s="558"/>
      <c r="AA4" s="558"/>
      <c r="AB4" s="559"/>
      <c r="AC4" s="560">
        <v>2008</v>
      </c>
      <c r="AD4" s="561"/>
      <c r="AE4" s="561"/>
      <c r="AF4" s="562"/>
      <c r="AG4" s="566">
        <v>2009</v>
      </c>
      <c r="AH4" s="567"/>
      <c r="AI4" s="567"/>
      <c r="AJ4" s="568"/>
      <c r="AK4" s="557">
        <v>2010</v>
      </c>
      <c r="AL4" s="558"/>
      <c r="AM4" s="558"/>
      <c r="AN4" s="559"/>
      <c r="AO4" s="554">
        <v>2011</v>
      </c>
      <c r="AP4" s="555"/>
      <c r="AQ4" s="555"/>
      <c r="AR4" s="556"/>
      <c r="AS4" s="557">
        <v>2012</v>
      </c>
      <c r="AT4" s="558"/>
      <c r="AU4" s="558"/>
      <c r="AV4" s="559"/>
      <c r="AW4" s="560">
        <v>2013</v>
      </c>
      <c r="AX4" s="561"/>
      <c r="AY4" s="561"/>
      <c r="AZ4" s="562"/>
      <c r="BA4" s="563">
        <v>2009</v>
      </c>
      <c r="BB4" s="564"/>
      <c r="BC4" s="564"/>
      <c r="BD4" s="565"/>
    </row>
    <row r="5" spans="2:56" ht="22.5" customHeight="1">
      <c r="B5" s="571"/>
      <c r="C5" s="571"/>
      <c r="D5" s="574"/>
      <c r="E5" s="571"/>
      <c r="F5" s="582"/>
      <c r="G5" s="386" t="s">
        <v>341</v>
      </c>
      <c r="H5" s="552">
        <v>2007</v>
      </c>
      <c r="I5" s="552">
        <v>2008</v>
      </c>
      <c r="J5" s="552">
        <v>2008</v>
      </c>
      <c r="K5" s="552">
        <v>2009</v>
      </c>
      <c r="L5" s="552">
        <v>2010</v>
      </c>
      <c r="M5" s="552">
        <v>2011</v>
      </c>
      <c r="N5" s="552">
        <v>2012</v>
      </c>
      <c r="O5" s="552">
        <v>2013</v>
      </c>
      <c r="P5" s="546">
        <v>2009</v>
      </c>
      <c r="Q5" s="387"/>
      <c r="R5" s="388"/>
      <c r="S5" s="389"/>
      <c r="T5" s="390"/>
      <c r="U5" s="548" t="s">
        <v>342</v>
      </c>
      <c r="V5" s="550" t="s">
        <v>343</v>
      </c>
      <c r="W5" s="550" t="s">
        <v>344</v>
      </c>
      <c r="X5" s="542" t="s">
        <v>345</v>
      </c>
      <c r="Y5" s="544" t="s">
        <v>342</v>
      </c>
      <c r="Z5" s="536" t="s">
        <v>343</v>
      </c>
      <c r="AA5" s="536" t="s">
        <v>344</v>
      </c>
      <c r="AB5" s="536" t="s">
        <v>345</v>
      </c>
      <c r="AC5" s="391"/>
      <c r="AD5" s="391"/>
      <c r="AE5" s="392"/>
      <c r="AF5" s="392"/>
      <c r="AG5" s="394"/>
      <c r="AH5" s="394"/>
      <c r="AI5" s="395"/>
      <c r="AJ5" s="395"/>
      <c r="AK5" s="396"/>
      <c r="AL5" s="396"/>
      <c r="AM5" s="397"/>
      <c r="AN5" s="397"/>
      <c r="AO5" s="398"/>
      <c r="AP5" s="398"/>
      <c r="AQ5" s="399"/>
      <c r="AR5" s="399"/>
      <c r="AS5" s="396"/>
      <c r="AT5" s="396"/>
      <c r="AU5" s="397"/>
      <c r="AV5" s="397"/>
      <c r="AW5" s="391"/>
      <c r="AX5" s="391"/>
      <c r="AY5" s="392"/>
      <c r="AZ5" s="392"/>
      <c r="BA5" s="538" t="s">
        <v>342</v>
      </c>
      <c r="BB5" s="540" t="s">
        <v>343</v>
      </c>
      <c r="BC5" s="540" t="s">
        <v>344</v>
      </c>
      <c r="BD5" s="534" t="s">
        <v>345</v>
      </c>
    </row>
    <row r="6" spans="2:56" ht="43.5" customHeight="1">
      <c r="B6" s="571"/>
      <c r="C6" s="572"/>
      <c r="D6" s="575"/>
      <c r="E6" s="572"/>
      <c r="F6" s="583"/>
      <c r="G6" s="400" t="s">
        <v>346</v>
      </c>
      <c r="H6" s="553"/>
      <c r="I6" s="553"/>
      <c r="J6" s="553"/>
      <c r="K6" s="553"/>
      <c r="L6" s="553"/>
      <c r="M6" s="553"/>
      <c r="N6" s="553"/>
      <c r="O6" s="553"/>
      <c r="P6" s="547"/>
      <c r="Q6" s="388" t="s">
        <v>342</v>
      </c>
      <c r="R6" s="388" t="s">
        <v>343</v>
      </c>
      <c r="S6" s="401" t="s">
        <v>344</v>
      </c>
      <c r="T6" s="402" t="s">
        <v>345</v>
      </c>
      <c r="U6" s="549"/>
      <c r="V6" s="551"/>
      <c r="W6" s="551"/>
      <c r="X6" s="543"/>
      <c r="Y6" s="545"/>
      <c r="Z6" s="537"/>
      <c r="AA6" s="537"/>
      <c r="AB6" s="537"/>
      <c r="AC6" s="391" t="s">
        <v>342</v>
      </c>
      <c r="AD6" s="391" t="s">
        <v>343</v>
      </c>
      <c r="AE6" s="403" t="s">
        <v>344</v>
      </c>
      <c r="AF6" s="403" t="s">
        <v>345</v>
      </c>
      <c r="AG6" s="394" t="s">
        <v>342</v>
      </c>
      <c r="AH6" s="394" t="s">
        <v>343</v>
      </c>
      <c r="AI6" s="404" t="s">
        <v>344</v>
      </c>
      <c r="AJ6" s="404" t="s">
        <v>345</v>
      </c>
      <c r="AK6" s="396" t="s">
        <v>342</v>
      </c>
      <c r="AL6" s="396" t="s">
        <v>343</v>
      </c>
      <c r="AM6" s="405" t="s">
        <v>344</v>
      </c>
      <c r="AN6" s="405" t="s">
        <v>345</v>
      </c>
      <c r="AO6" s="398" t="s">
        <v>342</v>
      </c>
      <c r="AP6" s="398" t="s">
        <v>343</v>
      </c>
      <c r="AQ6" s="406" t="s">
        <v>344</v>
      </c>
      <c r="AR6" s="406" t="s">
        <v>345</v>
      </c>
      <c r="AS6" s="396" t="s">
        <v>342</v>
      </c>
      <c r="AT6" s="396" t="s">
        <v>343</v>
      </c>
      <c r="AU6" s="405" t="s">
        <v>344</v>
      </c>
      <c r="AV6" s="405" t="s">
        <v>345</v>
      </c>
      <c r="AW6" s="391" t="s">
        <v>342</v>
      </c>
      <c r="AX6" s="391" t="s">
        <v>343</v>
      </c>
      <c r="AY6" s="403" t="s">
        <v>344</v>
      </c>
      <c r="AZ6" s="403" t="s">
        <v>345</v>
      </c>
      <c r="BA6" s="539"/>
      <c r="BB6" s="541"/>
      <c r="BC6" s="541"/>
      <c r="BD6" s="535"/>
    </row>
    <row r="7" spans="2:56" ht="25.5">
      <c r="B7" s="531">
        <v>1</v>
      </c>
      <c r="C7" s="30" t="s">
        <v>347</v>
      </c>
      <c r="D7" s="407" t="s">
        <v>348</v>
      </c>
      <c r="E7" s="408" t="s">
        <v>349</v>
      </c>
      <c r="F7" s="411">
        <v>3055000</v>
      </c>
      <c r="G7" s="89">
        <v>0</v>
      </c>
      <c r="H7" s="89">
        <v>80000</v>
      </c>
      <c r="I7" s="89">
        <f>3000000-25000</f>
        <v>2975000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/>
      <c r="Q7" s="412">
        <v>0</v>
      </c>
      <c r="R7" s="412">
        <v>0</v>
      </c>
      <c r="S7" s="412">
        <v>0</v>
      </c>
      <c r="T7" s="412">
        <v>0</v>
      </c>
      <c r="U7" s="413">
        <v>80000</v>
      </c>
      <c r="V7" s="413">
        <v>0</v>
      </c>
      <c r="W7" s="413">
        <v>0</v>
      </c>
      <c r="X7" s="413">
        <v>0</v>
      </c>
      <c r="Y7" s="414">
        <v>1000000</v>
      </c>
      <c r="Z7" s="414">
        <v>0</v>
      </c>
      <c r="AA7" s="414">
        <v>0</v>
      </c>
      <c r="AB7" s="414">
        <f>2000000-25000</f>
        <v>1975000</v>
      </c>
      <c r="AC7" s="415"/>
      <c r="AD7" s="415"/>
      <c r="AE7" s="415"/>
      <c r="AF7" s="415"/>
      <c r="AG7" s="416"/>
      <c r="AH7" s="416"/>
      <c r="AI7" s="416"/>
      <c r="AJ7" s="416"/>
      <c r="AK7" s="414"/>
      <c r="AL7" s="414"/>
      <c r="AM7" s="414"/>
      <c r="AN7" s="414"/>
      <c r="AO7" s="413"/>
      <c r="AP7" s="413"/>
      <c r="AQ7" s="413"/>
      <c r="AR7" s="413"/>
      <c r="AS7" s="414"/>
      <c r="AT7" s="414"/>
      <c r="AU7" s="414"/>
      <c r="AV7" s="414"/>
      <c r="AW7" s="415"/>
      <c r="AX7" s="415"/>
      <c r="AY7" s="415"/>
      <c r="AZ7" s="415"/>
      <c r="BA7" s="412">
        <v>0</v>
      </c>
      <c r="BB7" s="412">
        <v>0</v>
      </c>
      <c r="BC7" s="412">
        <v>0</v>
      </c>
      <c r="BD7" s="412">
        <v>0</v>
      </c>
    </row>
    <row r="8" spans="2:56" ht="36" customHeight="1" hidden="1">
      <c r="B8" s="531"/>
      <c r="C8" s="528" t="s">
        <v>350</v>
      </c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9"/>
      <c r="AN8" s="529"/>
      <c r="AO8" s="529"/>
      <c r="AP8" s="529"/>
      <c r="AQ8" s="529"/>
      <c r="AR8" s="529"/>
      <c r="AS8" s="529"/>
      <c r="AT8" s="529"/>
      <c r="AU8" s="529"/>
      <c r="AV8" s="529"/>
      <c r="AW8" s="529"/>
      <c r="AX8" s="529"/>
      <c r="AY8" s="529"/>
      <c r="AZ8" s="529"/>
      <c r="BA8" s="529"/>
      <c r="BB8" s="529"/>
      <c r="BC8" s="529"/>
      <c r="BD8" s="530"/>
    </row>
    <row r="9" spans="2:56" ht="25.5">
      <c r="B9" s="531">
        <v>2</v>
      </c>
      <c r="C9" s="417" t="s">
        <v>351</v>
      </c>
      <c r="D9" s="407" t="s">
        <v>348</v>
      </c>
      <c r="E9" s="408" t="s">
        <v>352</v>
      </c>
      <c r="F9" s="411">
        <v>1215808</v>
      </c>
      <c r="G9" s="89">
        <v>9930.8</v>
      </c>
      <c r="H9" s="89">
        <v>31500</v>
      </c>
      <c r="I9" s="89">
        <f>50000+9000-10500</f>
        <v>48500</v>
      </c>
      <c r="J9" s="89">
        <v>200000</v>
      </c>
      <c r="K9" s="89">
        <v>550342</v>
      </c>
      <c r="L9" s="89">
        <v>0</v>
      </c>
      <c r="M9" s="89">
        <v>0</v>
      </c>
      <c r="N9" s="89">
        <v>0</v>
      </c>
      <c r="O9" s="89">
        <v>0</v>
      </c>
      <c r="P9" s="89">
        <v>50000</v>
      </c>
      <c r="Q9" s="412">
        <v>26540</v>
      </c>
      <c r="R9" s="412">
        <v>0</v>
      </c>
      <c r="S9" s="412">
        <v>0</v>
      </c>
      <c r="T9" s="418">
        <v>0</v>
      </c>
      <c r="U9" s="413">
        <v>31500</v>
      </c>
      <c r="V9" s="413">
        <v>0</v>
      </c>
      <c r="W9" s="413">
        <v>0</v>
      </c>
      <c r="X9" s="413">
        <v>0</v>
      </c>
      <c r="Y9" s="414">
        <v>48500</v>
      </c>
      <c r="Z9" s="414">
        <v>0</v>
      </c>
      <c r="AA9" s="414">
        <v>0</v>
      </c>
      <c r="AB9" s="414">
        <v>0</v>
      </c>
      <c r="AC9" s="415"/>
      <c r="AD9" s="415"/>
      <c r="AE9" s="415"/>
      <c r="AF9" s="415"/>
      <c r="AG9" s="416"/>
      <c r="AH9" s="416"/>
      <c r="AI9" s="416"/>
      <c r="AJ9" s="416"/>
      <c r="AK9" s="414"/>
      <c r="AL9" s="414"/>
      <c r="AM9" s="414"/>
      <c r="AN9" s="414"/>
      <c r="AO9" s="413"/>
      <c r="AP9" s="413"/>
      <c r="AQ9" s="413"/>
      <c r="AR9" s="413"/>
      <c r="AS9" s="414"/>
      <c r="AT9" s="414"/>
      <c r="AU9" s="414"/>
      <c r="AV9" s="414"/>
      <c r="AW9" s="415"/>
      <c r="AX9" s="415"/>
      <c r="AY9" s="415"/>
      <c r="AZ9" s="415"/>
      <c r="BA9" s="415">
        <v>50000</v>
      </c>
      <c r="BB9" s="412">
        <v>0</v>
      </c>
      <c r="BC9" s="412">
        <v>0</v>
      </c>
      <c r="BD9" s="418">
        <v>0</v>
      </c>
    </row>
    <row r="10" spans="2:56" ht="33" customHeight="1" hidden="1">
      <c r="B10" s="531"/>
      <c r="C10" s="528" t="s">
        <v>353</v>
      </c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D10" s="529"/>
      <c r="AE10" s="529"/>
      <c r="AF10" s="529"/>
      <c r="AG10" s="529"/>
      <c r="AH10" s="529"/>
      <c r="AI10" s="529"/>
      <c r="AJ10" s="529"/>
      <c r="AK10" s="529"/>
      <c r="AL10" s="529"/>
      <c r="AM10" s="529"/>
      <c r="AN10" s="529"/>
      <c r="AO10" s="529"/>
      <c r="AP10" s="529"/>
      <c r="AQ10" s="529"/>
      <c r="AR10" s="529"/>
      <c r="AS10" s="529"/>
      <c r="AT10" s="529"/>
      <c r="AU10" s="529"/>
      <c r="AV10" s="529"/>
      <c r="AW10" s="529"/>
      <c r="AX10" s="529"/>
      <c r="AY10" s="529"/>
      <c r="AZ10" s="529"/>
      <c r="BA10" s="529"/>
      <c r="BB10" s="529"/>
      <c r="BC10" s="529"/>
      <c r="BD10" s="530"/>
    </row>
    <row r="11" spans="1:56" s="424" customFormat="1" ht="25.5">
      <c r="A11" s="96"/>
      <c r="B11" s="531">
        <f>B9+1</f>
        <v>3</v>
      </c>
      <c r="C11" s="419" t="s">
        <v>354</v>
      </c>
      <c r="D11" s="420" t="s">
        <v>348</v>
      </c>
      <c r="E11" s="421" t="s">
        <v>352</v>
      </c>
      <c r="F11" s="422">
        <v>1128063.2</v>
      </c>
      <c r="G11" s="423">
        <v>18250.2</v>
      </c>
      <c r="H11" s="423">
        <v>10000</v>
      </c>
      <c r="I11" s="423">
        <v>20000</v>
      </c>
      <c r="J11" s="423">
        <v>200000</v>
      </c>
      <c r="K11" s="423">
        <v>380000</v>
      </c>
      <c r="L11" s="423">
        <v>447464</v>
      </c>
      <c r="M11" s="423">
        <v>0</v>
      </c>
      <c r="N11" s="423">
        <v>0</v>
      </c>
      <c r="O11" s="423">
        <v>0</v>
      </c>
      <c r="P11" s="423">
        <v>20000</v>
      </c>
      <c r="Q11" s="423">
        <v>27349</v>
      </c>
      <c r="R11" s="423">
        <v>0</v>
      </c>
      <c r="S11" s="423">
        <v>0</v>
      </c>
      <c r="T11" s="423">
        <v>0</v>
      </c>
      <c r="U11" s="413">
        <v>10000</v>
      </c>
      <c r="V11" s="413">
        <v>0</v>
      </c>
      <c r="W11" s="413">
        <v>0</v>
      </c>
      <c r="X11" s="413">
        <v>0</v>
      </c>
      <c r="Y11" s="414">
        <v>20000</v>
      </c>
      <c r="Z11" s="414">
        <v>0</v>
      </c>
      <c r="AA11" s="414">
        <v>0</v>
      </c>
      <c r="AB11" s="414">
        <v>0</v>
      </c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15">
        <v>20000</v>
      </c>
      <c r="BB11" s="415">
        <v>0</v>
      </c>
      <c r="BC11" s="415">
        <v>0</v>
      </c>
      <c r="BD11" s="415">
        <v>0</v>
      </c>
    </row>
    <row r="12" spans="1:56" s="424" customFormat="1" ht="30.75" customHeight="1" hidden="1">
      <c r="A12" s="96"/>
      <c r="B12" s="531"/>
      <c r="C12" s="528" t="s">
        <v>355</v>
      </c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2"/>
      <c r="AU12" s="532"/>
      <c r="AV12" s="532"/>
      <c r="AW12" s="532"/>
      <c r="AX12" s="532"/>
      <c r="AY12" s="532"/>
      <c r="AZ12" s="532"/>
      <c r="BA12" s="532"/>
      <c r="BB12" s="532"/>
      <c r="BC12" s="532"/>
      <c r="BD12" s="533"/>
    </row>
    <row r="13" spans="1:56" ht="25.5">
      <c r="A13" s="73"/>
      <c r="B13" s="27">
        <f>B11+1</f>
        <v>4</v>
      </c>
      <c r="C13" s="417" t="s">
        <v>356</v>
      </c>
      <c r="D13" s="407" t="s">
        <v>348</v>
      </c>
      <c r="E13" s="408" t="s">
        <v>357</v>
      </c>
      <c r="F13" s="411">
        <v>269348</v>
      </c>
      <c r="G13" s="89">
        <v>4026</v>
      </c>
      <c r="H13" s="89">
        <v>7700</v>
      </c>
      <c r="I13" s="89">
        <f>17438-3140</f>
        <v>14298</v>
      </c>
      <c r="J13" s="89">
        <v>242300</v>
      </c>
      <c r="K13" s="89"/>
      <c r="L13" s="89"/>
      <c r="M13" s="89"/>
      <c r="N13" s="89"/>
      <c r="O13" s="89"/>
      <c r="P13" s="89">
        <v>200000</v>
      </c>
      <c r="Q13" s="412">
        <v>8000</v>
      </c>
      <c r="R13" s="412">
        <v>0</v>
      </c>
      <c r="S13" s="412">
        <v>0</v>
      </c>
      <c r="T13" s="412">
        <v>0</v>
      </c>
      <c r="U13" s="413">
        <v>7700</v>
      </c>
      <c r="V13" s="413">
        <v>0</v>
      </c>
      <c r="W13" s="413">
        <v>0</v>
      </c>
      <c r="X13" s="413">
        <v>0</v>
      </c>
      <c r="Y13" s="414">
        <v>14298</v>
      </c>
      <c r="Z13" s="414">
        <v>0</v>
      </c>
      <c r="AA13" s="414">
        <v>0</v>
      </c>
      <c r="AB13" s="414">
        <v>0</v>
      </c>
      <c r="AC13" s="415"/>
      <c r="AD13" s="415"/>
      <c r="AE13" s="415"/>
      <c r="AF13" s="415"/>
      <c r="AG13" s="416"/>
      <c r="AH13" s="416"/>
      <c r="AI13" s="416"/>
      <c r="AJ13" s="416"/>
      <c r="AK13" s="414"/>
      <c r="AL13" s="414"/>
      <c r="AM13" s="414"/>
      <c r="AN13" s="414"/>
      <c r="AO13" s="413"/>
      <c r="AP13" s="413"/>
      <c r="AQ13" s="413"/>
      <c r="AR13" s="413"/>
      <c r="AS13" s="414"/>
      <c r="AT13" s="414"/>
      <c r="AU13" s="414"/>
      <c r="AV13" s="414"/>
      <c r="AW13" s="415"/>
      <c r="AX13" s="415"/>
      <c r="AY13" s="415"/>
      <c r="AZ13" s="415"/>
      <c r="BA13" s="415">
        <v>200000</v>
      </c>
      <c r="BB13" s="412">
        <v>0</v>
      </c>
      <c r="BC13" s="412">
        <v>0</v>
      </c>
      <c r="BD13" s="412">
        <v>0</v>
      </c>
    </row>
    <row r="14" spans="1:56" s="424" customFormat="1" ht="25.5">
      <c r="A14" s="96"/>
      <c r="B14" s="27">
        <f>B13+1</f>
        <v>5</v>
      </c>
      <c r="C14" s="419" t="s">
        <v>358</v>
      </c>
      <c r="D14" s="420" t="s">
        <v>348</v>
      </c>
      <c r="E14" s="421" t="s">
        <v>349</v>
      </c>
      <c r="F14" s="422">
        <v>120000</v>
      </c>
      <c r="G14" s="423">
        <v>18250.2</v>
      </c>
      <c r="H14" s="423">
        <v>0</v>
      </c>
      <c r="I14" s="423">
        <f>50000+51600+707+14269+3424</f>
        <v>120000</v>
      </c>
      <c r="J14" s="423">
        <v>200000</v>
      </c>
      <c r="K14" s="423">
        <v>380000</v>
      </c>
      <c r="L14" s="423">
        <v>447464</v>
      </c>
      <c r="M14" s="423">
        <v>0</v>
      </c>
      <c r="N14" s="423">
        <v>0</v>
      </c>
      <c r="O14" s="423">
        <v>0</v>
      </c>
      <c r="P14" s="423">
        <v>0</v>
      </c>
      <c r="Q14" s="423">
        <v>27349</v>
      </c>
      <c r="R14" s="423">
        <v>0</v>
      </c>
      <c r="S14" s="423">
        <v>0</v>
      </c>
      <c r="T14" s="423">
        <v>0</v>
      </c>
      <c r="U14" s="413">
        <v>0</v>
      </c>
      <c r="V14" s="413">
        <v>0</v>
      </c>
      <c r="W14" s="413">
        <v>0</v>
      </c>
      <c r="X14" s="413">
        <v>0</v>
      </c>
      <c r="Y14" s="414">
        <v>120000</v>
      </c>
      <c r="Z14" s="414">
        <v>0</v>
      </c>
      <c r="AA14" s="414">
        <v>0</v>
      </c>
      <c r="AB14" s="414">
        <v>0</v>
      </c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15">
        <v>0</v>
      </c>
      <c r="BB14" s="415">
        <v>0</v>
      </c>
      <c r="BC14" s="415">
        <v>0</v>
      </c>
      <c r="BD14" s="415">
        <v>0</v>
      </c>
    </row>
    <row r="15" spans="1:56" s="424" customFormat="1" ht="25.5">
      <c r="A15" s="96"/>
      <c r="B15" s="27">
        <v>6</v>
      </c>
      <c r="C15" s="419" t="s">
        <v>359</v>
      </c>
      <c r="D15" s="420" t="s">
        <v>348</v>
      </c>
      <c r="E15" s="421" t="s">
        <v>360</v>
      </c>
      <c r="F15" s="422">
        <v>130842.2</v>
      </c>
      <c r="G15" s="423"/>
      <c r="H15" s="423">
        <v>31707</v>
      </c>
      <c r="I15" s="423">
        <f>39000-19000-707</f>
        <v>19293</v>
      </c>
      <c r="J15" s="423"/>
      <c r="K15" s="423"/>
      <c r="L15" s="423"/>
      <c r="M15" s="423"/>
      <c r="N15" s="423"/>
      <c r="O15" s="423"/>
      <c r="P15" s="423">
        <v>79000</v>
      </c>
      <c r="Q15" s="423"/>
      <c r="R15" s="423"/>
      <c r="S15" s="423"/>
      <c r="T15" s="423"/>
      <c r="U15" s="413">
        <v>31707</v>
      </c>
      <c r="V15" s="413"/>
      <c r="W15" s="413"/>
      <c r="X15" s="413"/>
      <c r="Y15" s="414">
        <v>19293</v>
      </c>
      <c r="Z15" s="414"/>
      <c r="AA15" s="414"/>
      <c r="AB15" s="414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15">
        <v>79000</v>
      </c>
      <c r="BB15" s="415"/>
      <c r="BC15" s="415"/>
      <c r="BD15" s="415"/>
    </row>
    <row r="16" spans="2:56" ht="25.5">
      <c r="B16" s="531">
        <v>7</v>
      </c>
      <c r="C16" s="417" t="s">
        <v>361</v>
      </c>
      <c r="D16" s="407" t="s">
        <v>348</v>
      </c>
      <c r="E16" s="408" t="s">
        <v>362</v>
      </c>
      <c r="F16" s="411">
        <v>1800000</v>
      </c>
      <c r="G16" s="89">
        <v>2453</v>
      </c>
      <c r="H16" s="423">
        <v>53500</v>
      </c>
      <c r="I16" s="423">
        <f>200000+126500</f>
        <v>326500</v>
      </c>
      <c r="J16" s="414"/>
      <c r="K16" s="414"/>
      <c r="L16" s="414"/>
      <c r="M16" s="414"/>
      <c r="N16" s="414"/>
      <c r="O16" s="414"/>
      <c r="P16" s="423">
        <v>1384625</v>
      </c>
      <c r="Q16" s="412">
        <v>35000</v>
      </c>
      <c r="R16" s="412">
        <v>0</v>
      </c>
      <c r="S16" s="412">
        <v>0</v>
      </c>
      <c r="T16" s="412">
        <v>0</v>
      </c>
      <c r="U16" s="413">
        <v>53500</v>
      </c>
      <c r="V16" s="413">
        <v>0</v>
      </c>
      <c r="W16" s="413">
        <v>0</v>
      </c>
      <c r="X16" s="413">
        <v>0</v>
      </c>
      <c r="Y16" s="414">
        <v>326500</v>
      </c>
      <c r="Z16" s="414">
        <v>0</v>
      </c>
      <c r="AA16" s="414">
        <v>0</v>
      </c>
      <c r="AB16" s="414">
        <v>0</v>
      </c>
      <c r="AC16" s="415"/>
      <c r="AD16" s="415"/>
      <c r="AE16" s="415"/>
      <c r="AF16" s="415"/>
      <c r="AG16" s="416"/>
      <c r="AH16" s="416"/>
      <c r="AI16" s="416"/>
      <c r="AJ16" s="416"/>
      <c r="AK16" s="414"/>
      <c r="AL16" s="414"/>
      <c r="AM16" s="414"/>
      <c r="AN16" s="414"/>
      <c r="AO16" s="413"/>
      <c r="AP16" s="413"/>
      <c r="AQ16" s="413"/>
      <c r="AR16" s="413"/>
      <c r="AS16" s="414"/>
      <c r="AT16" s="414"/>
      <c r="AU16" s="414"/>
      <c r="AV16" s="414"/>
      <c r="AW16" s="415"/>
      <c r="AX16" s="415"/>
      <c r="AY16" s="415"/>
      <c r="AZ16" s="415"/>
      <c r="BA16" s="415">
        <v>1384625</v>
      </c>
      <c r="BB16" s="412">
        <v>0</v>
      </c>
      <c r="BC16" s="412">
        <v>0</v>
      </c>
      <c r="BD16" s="412">
        <v>0</v>
      </c>
    </row>
    <row r="17" spans="2:56" ht="12.75" hidden="1">
      <c r="B17" s="531"/>
      <c r="C17" s="528" t="s">
        <v>363</v>
      </c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  <c r="AR17" s="529"/>
      <c r="AS17" s="529"/>
      <c r="AT17" s="529"/>
      <c r="AU17" s="529"/>
      <c r="AV17" s="529"/>
      <c r="AW17" s="529"/>
      <c r="AX17" s="529"/>
      <c r="AY17" s="529"/>
      <c r="AZ17" s="529"/>
      <c r="BA17" s="529"/>
      <c r="BB17" s="529"/>
      <c r="BC17" s="529"/>
      <c r="BD17" s="530"/>
    </row>
    <row r="18" spans="2:56" ht="25.5">
      <c r="B18" s="27">
        <f>B16+1</f>
        <v>8</v>
      </c>
      <c r="C18" s="425" t="s">
        <v>364</v>
      </c>
      <c r="D18" s="407" t="s">
        <v>348</v>
      </c>
      <c r="E18" s="44" t="s">
        <v>365</v>
      </c>
      <c r="F18" s="66">
        <v>150000</v>
      </c>
      <c r="G18" s="66"/>
      <c r="H18" s="66">
        <f>10000+64646</f>
        <v>74646</v>
      </c>
      <c r="I18" s="66">
        <f>110004.98-64646</f>
        <v>45358.979999999996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306">
        <v>74646</v>
      </c>
      <c r="V18" s="306"/>
      <c r="W18" s="306"/>
      <c r="X18" s="306"/>
      <c r="Y18" s="426">
        <v>45358.98</v>
      </c>
      <c r="Z18" s="426"/>
      <c r="AA18" s="426"/>
      <c r="AB18" s="42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427"/>
      <c r="BB18" s="427"/>
      <c r="BC18" s="427"/>
      <c r="BD18" s="427"/>
    </row>
    <row r="19" spans="2:56" ht="25.5">
      <c r="B19" s="27">
        <f>B18+1</f>
        <v>9</v>
      </c>
      <c r="C19" s="417" t="s">
        <v>366</v>
      </c>
      <c r="D19" s="407" t="s">
        <v>348</v>
      </c>
      <c r="E19" s="408" t="s">
        <v>367</v>
      </c>
      <c r="F19" s="411">
        <v>16160000</v>
      </c>
      <c r="G19" s="89">
        <v>0</v>
      </c>
      <c r="H19" s="89">
        <v>1060000</v>
      </c>
      <c r="I19" s="89">
        <v>2100000</v>
      </c>
      <c r="J19" s="89">
        <v>3900000</v>
      </c>
      <c r="K19" s="89">
        <v>1200000</v>
      </c>
      <c r="L19" s="89">
        <v>5450000</v>
      </c>
      <c r="M19" s="89">
        <v>5450000</v>
      </c>
      <c r="N19" s="89">
        <v>0</v>
      </c>
      <c r="O19" s="89">
        <v>0</v>
      </c>
      <c r="P19" s="89">
        <v>10000000</v>
      </c>
      <c r="Q19" s="412">
        <v>0</v>
      </c>
      <c r="R19" s="412">
        <v>0</v>
      </c>
      <c r="S19" s="412">
        <v>0</v>
      </c>
      <c r="T19" s="412">
        <v>0</v>
      </c>
      <c r="U19" s="413">
        <v>1060000</v>
      </c>
      <c r="V19" s="413">
        <v>0</v>
      </c>
      <c r="W19" s="413">
        <v>0</v>
      </c>
      <c r="X19" s="413">
        <v>0</v>
      </c>
      <c r="Y19" s="414">
        <v>1100000</v>
      </c>
      <c r="Z19" s="414">
        <v>0</v>
      </c>
      <c r="AA19" s="414">
        <v>0</v>
      </c>
      <c r="AB19" s="414">
        <v>1000000</v>
      </c>
      <c r="AC19" s="415"/>
      <c r="AD19" s="415"/>
      <c r="AE19" s="415"/>
      <c r="AF19" s="415"/>
      <c r="AG19" s="416"/>
      <c r="AH19" s="416"/>
      <c r="AI19" s="416"/>
      <c r="AJ19" s="416"/>
      <c r="AK19" s="414"/>
      <c r="AL19" s="414"/>
      <c r="AM19" s="414"/>
      <c r="AN19" s="414"/>
      <c r="AO19" s="413"/>
      <c r="AP19" s="413"/>
      <c r="AQ19" s="413"/>
      <c r="AR19" s="413"/>
      <c r="AS19" s="414"/>
      <c r="AT19" s="414"/>
      <c r="AU19" s="414"/>
      <c r="AV19" s="414"/>
      <c r="AW19" s="415"/>
      <c r="AX19" s="415"/>
      <c r="AY19" s="415"/>
      <c r="AZ19" s="415"/>
      <c r="BA19" s="415">
        <v>10000000</v>
      </c>
      <c r="BB19" s="412">
        <v>0</v>
      </c>
      <c r="BC19" s="412">
        <v>0</v>
      </c>
      <c r="BD19" s="412">
        <v>0</v>
      </c>
    </row>
    <row r="20" spans="2:56" ht="25.5">
      <c r="B20" s="27">
        <f>B19+1</f>
        <v>10</v>
      </c>
      <c r="C20" s="417" t="s">
        <v>368</v>
      </c>
      <c r="D20" s="407" t="s">
        <v>348</v>
      </c>
      <c r="E20" s="408" t="s">
        <v>369</v>
      </c>
      <c r="F20" s="411">
        <v>340440</v>
      </c>
      <c r="G20" s="89"/>
      <c r="H20" s="89">
        <v>36000</v>
      </c>
      <c r="I20" s="89">
        <f>155000-27560-3000</f>
        <v>124440</v>
      </c>
      <c r="J20" s="89"/>
      <c r="K20" s="89"/>
      <c r="L20" s="89"/>
      <c r="M20" s="89"/>
      <c r="N20" s="89"/>
      <c r="O20" s="89"/>
      <c r="P20" s="89">
        <v>180000</v>
      </c>
      <c r="Q20" s="412"/>
      <c r="R20" s="412"/>
      <c r="S20" s="412"/>
      <c r="T20" s="412"/>
      <c r="U20" s="413">
        <v>36000</v>
      </c>
      <c r="V20" s="413"/>
      <c r="W20" s="413"/>
      <c r="X20" s="413"/>
      <c r="Y20" s="414">
        <v>124440</v>
      </c>
      <c r="Z20" s="414"/>
      <c r="AA20" s="414"/>
      <c r="AB20" s="414"/>
      <c r="AC20" s="415"/>
      <c r="AD20" s="415"/>
      <c r="AE20" s="415"/>
      <c r="AF20" s="415"/>
      <c r="AG20" s="416"/>
      <c r="AH20" s="416"/>
      <c r="AI20" s="416"/>
      <c r="AJ20" s="416"/>
      <c r="AK20" s="414"/>
      <c r="AL20" s="414"/>
      <c r="AM20" s="414"/>
      <c r="AN20" s="414"/>
      <c r="AO20" s="413"/>
      <c r="AP20" s="413"/>
      <c r="AQ20" s="413"/>
      <c r="AR20" s="413"/>
      <c r="AS20" s="414"/>
      <c r="AT20" s="414"/>
      <c r="AU20" s="414"/>
      <c r="AV20" s="414"/>
      <c r="AW20" s="415"/>
      <c r="AX20" s="415"/>
      <c r="AY20" s="415"/>
      <c r="AZ20" s="415"/>
      <c r="BA20" s="415">
        <v>180000</v>
      </c>
      <c r="BB20" s="412"/>
      <c r="BC20" s="412"/>
      <c r="BD20" s="412"/>
    </row>
    <row r="21" spans="2:56" ht="25.5">
      <c r="B21" s="27">
        <f>B20+1</f>
        <v>11</v>
      </c>
      <c r="C21" s="417" t="s">
        <v>370</v>
      </c>
      <c r="D21" s="407" t="s">
        <v>348</v>
      </c>
      <c r="E21" s="408" t="s">
        <v>371</v>
      </c>
      <c r="F21" s="411">
        <v>3170000</v>
      </c>
      <c r="G21" s="89">
        <v>0</v>
      </c>
      <c r="H21" s="89">
        <v>0</v>
      </c>
      <c r="I21" s="89">
        <v>0</v>
      </c>
      <c r="J21" s="89"/>
      <c r="K21" s="89"/>
      <c r="L21" s="89"/>
      <c r="M21" s="89"/>
      <c r="N21" s="89"/>
      <c r="O21" s="89"/>
      <c r="P21" s="89">
        <v>150000</v>
      </c>
      <c r="Q21" s="412">
        <v>0</v>
      </c>
      <c r="R21" s="412">
        <v>0</v>
      </c>
      <c r="S21" s="412">
        <v>0</v>
      </c>
      <c r="T21" s="412">
        <v>0</v>
      </c>
      <c r="U21" s="413">
        <v>0</v>
      </c>
      <c r="V21" s="413">
        <v>0</v>
      </c>
      <c r="W21" s="413">
        <v>0</v>
      </c>
      <c r="X21" s="413">
        <v>0</v>
      </c>
      <c r="Y21" s="414">
        <v>0</v>
      </c>
      <c r="Z21" s="414">
        <v>0</v>
      </c>
      <c r="AA21" s="414">
        <v>0</v>
      </c>
      <c r="AB21" s="414">
        <v>0</v>
      </c>
      <c r="AC21" s="415"/>
      <c r="AD21" s="415"/>
      <c r="AE21" s="415"/>
      <c r="AF21" s="415"/>
      <c r="AG21" s="416"/>
      <c r="AH21" s="416"/>
      <c r="AI21" s="416"/>
      <c r="AJ21" s="416"/>
      <c r="AK21" s="414"/>
      <c r="AL21" s="414"/>
      <c r="AM21" s="414"/>
      <c r="AN21" s="414"/>
      <c r="AO21" s="413"/>
      <c r="AP21" s="413"/>
      <c r="AQ21" s="413"/>
      <c r="AR21" s="413"/>
      <c r="AS21" s="414"/>
      <c r="AT21" s="414"/>
      <c r="AU21" s="414"/>
      <c r="AV21" s="414"/>
      <c r="AW21" s="415"/>
      <c r="AX21" s="415"/>
      <c r="AY21" s="415"/>
      <c r="AZ21" s="415"/>
      <c r="BA21" s="415">
        <v>150000</v>
      </c>
      <c r="BB21" s="412">
        <v>0</v>
      </c>
      <c r="BC21" s="412">
        <v>0</v>
      </c>
      <c r="BD21" s="412">
        <v>0</v>
      </c>
    </row>
    <row r="22" spans="2:56" ht="20.25" customHeight="1" hidden="1">
      <c r="B22" s="27">
        <f aca="true" t="shared" si="0" ref="B22:B30">B20+1</f>
        <v>11</v>
      </c>
      <c r="C22" s="528" t="s">
        <v>372</v>
      </c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30"/>
      <c r="Q22" s="412"/>
      <c r="R22" s="412"/>
      <c r="S22" s="412"/>
      <c r="T22" s="412"/>
      <c r="U22" s="413"/>
      <c r="V22" s="413"/>
      <c r="W22" s="413"/>
      <c r="X22" s="413"/>
      <c r="Y22" s="414"/>
      <c r="Z22" s="414"/>
      <c r="AA22" s="414"/>
      <c r="AB22" s="414"/>
      <c r="AC22" s="415"/>
      <c r="AD22" s="415"/>
      <c r="AE22" s="415"/>
      <c r="AF22" s="415"/>
      <c r="AG22" s="416"/>
      <c r="AH22" s="416"/>
      <c r="AI22" s="416"/>
      <c r="AJ22" s="416"/>
      <c r="AK22" s="414"/>
      <c r="AL22" s="414"/>
      <c r="AM22" s="414"/>
      <c r="AN22" s="414"/>
      <c r="AO22" s="413"/>
      <c r="AP22" s="413"/>
      <c r="AQ22" s="413"/>
      <c r="AR22" s="413"/>
      <c r="AS22" s="414"/>
      <c r="AT22" s="414"/>
      <c r="AU22" s="414"/>
      <c r="AV22" s="414"/>
      <c r="AW22" s="415"/>
      <c r="AX22" s="415"/>
      <c r="AY22" s="415"/>
      <c r="AZ22" s="415"/>
      <c r="BA22" s="415"/>
      <c r="BB22" s="412"/>
      <c r="BC22" s="412"/>
      <c r="BD22" s="412"/>
    </row>
    <row r="23" spans="2:56" ht="25.5">
      <c r="B23" s="27">
        <f t="shared" si="0"/>
        <v>12</v>
      </c>
      <c r="C23" s="428" t="s">
        <v>373</v>
      </c>
      <c r="D23" s="407" t="s">
        <v>348</v>
      </c>
      <c r="E23" s="408" t="s">
        <v>374</v>
      </c>
      <c r="F23" s="411">
        <v>9400000</v>
      </c>
      <c r="G23" s="89"/>
      <c r="H23" s="89">
        <v>2000</v>
      </c>
      <c r="I23" s="89">
        <f>35850+35000</f>
        <v>70850</v>
      </c>
      <c r="J23" s="89">
        <v>760000</v>
      </c>
      <c r="K23" s="89">
        <v>2280000</v>
      </c>
      <c r="L23" s="89">
        <v>1900000</v>
      </c>
      <c r="M23" s="89">
        <v>1280000</v>
      </c>
      <c r="N23" s="89">
        <v>800000</v>
      </c>
      <c r="O23" s="89">
        <v>640000</v>
      </c>
      <c r="P23" s="89">
        <v>700000</v>
      </c>
      <c r="Q23" s="412">
        <v>54700</v>
      </c>
      <c r="R23" s="412"/>
      <c r="S23" s="412"/>
      <c r="T23" s="412">
        <v>96300</v>
      </c>
      <c r="U23" s="413">
        <v>2000</v>
      </c>
      <c r="V23" s="413">
        <v>0</v>
      </c>
      <c r="W23" s="413">
        <v>0</v>
      </c>
      <c r="X23" s="413">
        <v>0</v>
      </c>
      <c r="Y23" s="414">
        <v>70850</v>
      </c>
      <c r="Z23" s="414">
        <v>0</v>
      </c>
      <c r="AA23" s="414">
        <v>0</v>
      </c>
      <c r="AB23" s="414">
        <v>0</v>
      </c>
      <c r="AC23" s="415"/>
      <c r="AD23" s="415"/>
      <c r="AE23" s="415"/>
      <c r="AF23" s="415"/>
      <c r="AG23" s="416"/>
      <c r="AH23" s="416"/>
      <c r="AI23" s="416"/>
      <c r="AJ23" s="416"/>
      <c r="AK23" s="414"/>
      <c r="AL23" s="414"/>
      <c r="AM23" s="414"/>
      <c r="AN23" s="414"/>
      <c r="AO23" s="413"/>
      <c r="AP23" s="413"/>
      <c r="AQ23" s="413"/>
      <c r="AR23" s="413"/>
      <c r="AS23" s="414"/>
      <c r="AT23" s="414"/>
      <c r="AU23" s="414"/>
      <c r="AV23" s="414"/>
      <c r="AW23" s="415"/>
      <c r="AX23" s="415"/>
      <c r="AY23" s="415"/>
      <c r="AZ23" s="415"/>
      <c r="BA23" s="415">
        <v>700000</v>
      </c>
      <c r="BB23" s="412">
        <v>0</v>
      </c>
      <c r="BC23" s="412">
        <v>0</v>
      </c>
      <c r="BD23" s="412">
        <v>0</v>
      </c>
    </row>
    <row r="24" spans="2:56" ht="25.5">
      <c r="B24" s="27">
        <v>13</v>
      </c>
      <c r="C24" s="30" t="s">
        <v>375</v>
      </c>
      <c r="D24" s="407" t="s">
        <v>348</v>
      </c>
      <c r="E24" s="408" t="s">
        <v>376</v>
      </c>
      <c r="F24" s="411">
        <v>1645000</v>
      </c>
      <c r="G24" s="89"/>
      <c r="H24" s="89">
        <v>0</v>
      </c>
      <c r="I24" s="89">
        <v>65000</v>
      </c>
      <c r="J24" s="89">
        <v>660000</v>
      </c>
      <c r="K24" s="89">
        <v>750000</v>
      </c>
      <c r="L24" s="89">
        <v>90000</v>
      </c>
      <c r="M24" s="89">
        <v>0</v>
      </c>
      <c r="N24" s="89">
        <v>0</v>
      </c>
      <c r="O24" s="89">
        <v>0</v>
      </c>
      <c r="P24" s="89">
        <v>80000</v>
      </c>
      <c r="Q24" s="412">
        <v>0</v>
      </c>
      <c r="R24" s="412">
        <v>0</v>
      </c>
      <c r="S24" s="412">
        <v>0</v>
      </c>
      <c r="T24" s="412">
        <v>0</v>
      </c>
      <c r="U24" s="413">
        <v>0</v>
      </c>
      <c r="V24" s="413">
        <v>0</v>
      </c>
      <c r="W24" s="413">
        <v>0</v>
      </c>
      <c r="X24" s="413">
        <v>0</v>
      </c>
      <c r="Y24" s="414">
        <v>65000</v>
      </c>
      <c r="Z24" s="414">
        <v>0</v>
      </c>
      <c r="AA24" s="414">
        <v>0</v>
      </c>
      <c r="AB24" s="414">
        <v>0</v>
      </c>
      <c r="AC24" s="415"/>
      <c r="AD24" s="415"/>
      <c r="AE24" s="415"/>
      <c r="AF24" s="415"/>
      <c r="AG24" s="416"/>
      <c r="AH24" s="416"/>
      <c r="AI24" s="416"/>
      <c r="AJ24" s="416"/>
      <c r="AK24" s="414"/>
      <c r="AL24" s="414"/>
      <c r="AM24" s="414"/>
      <c r="AN24" s="414"/>
      <c r="AO24" s="413"/>
      <c r="AP24" s="413"/>
      <c r="AQ24" s="413"/>
      <c r="AR24" s="413"/>
      <c r="AS24" s="414"/>
      <c r="AT24" s="414"/>
      <c r="AU24" s="414"/>
      <c r="AV24" s="414"/>
      <c r="AW24" s="415"/>
      <c r="AX24" s="415"/>
      <c r="AY24" s="415"/>
      <c r="AZ24" s="415"/>
      <c r="BA24" s="415">
        <v>80000</v>
      </c>
      <c r="BB24" s="412">
        <v>0</v>
      </c>
      <c r="BC24" s="412">
        <v>0</v>
      </c>
      <c r="BD24" s="412">
        <v>0</v>
      </c>
    </row>
    <row r="25" spans="2:56" ht="18.75" customHeight="1" hidden="1">
      <c r="B25" s="27">
        <f t="shared" si="0"/>
        <v>13</v>
      </c>
      <c r="C25" s="528" t="s">
        <v>377</v>
      </c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30"/>
      <c r="Q25" s="412"/>
      <c r="R25" s="412"/>
      <c r="S25" s="412"/>
      <c r="T25" s="412"/>
      <c r="U25" s="413"/>
      <c r="V25" s="413"/>
      <c r="W25" s="413"/>
      <c r="X25" s="413"/>
      <c r="Y25" s="414"/>
      <c r="Z25" s="414"/>
      <c r="AA25" s="414"/>
      <c r="AB25" s="414"/>
      <c r="AC25" s="415"/>
      <c r="AD25" s="415"/>
      <c r="AE25" s="415"/>
      <c r="AF25" s="415"/>
      <c r="AG25" s="416"/>
      <c r="AH25" s="416"/>
      <c r="AI25" s="416"/>
      <c r="AJ25" s="416"/>
      <c r="AK25" s="414"/>
      <c r="AL25" s="414"/>
      <c r="AM25" s="414"/>
      <c r="AN25" s="414"/>
      <c r="AO25" s="413"/>
      <c r="AP25" s="413"/>
      <c r="AQ25" s="413"/>
      <c r="AR25" s="413"/>
      <c r="AS25" s="414"/>
      <c r="AT25" s="414"/>
      <c r="AU25" s="414"/>
      <c r="AV25" s="414"/>
      <c r="AW25" s="415"/>
      <c r="AX25" s="415"/>
      <c r="AY25" s="415"/>
      <c r="AZ25" s="415"/>
      <c r="BA25" s="415"/>
      <c r="BB25" s="412"/>
      <c r="BC25" s="412"/>
      <c r="BD25" s="412"/>
    </row>
    <row r="26" spans="2:56" s="424" customFormat="1" ht="38.25">
      <c r="B26" s="27">
        <f t="shared" si="0"/>
        <v>14</v>
      </c>
      <c r="C26" s="429" t="s">
        <v>378</v>
      </c>
      <c r="D26" s="420" t="s">
        <v>348</v>
      </c>
      <c r="E26" s="421" t="s">
        <v>379</v>
      </c>
      <c r="F26" s="422">
        <v>257000</v>
      </c>
      <c r="G26" s="423"/>
      <c r="H26" s="423">
        <v>40000</v>
      </c>
      <c r="I26" s="423">
        <v>82000</v>
      </c>
      <c r="J26" s="423"/>
      <c r="K26" s="423"/>
      <c r="L26" s="423"/>
      <c r="M26" s="423"/>
      <c r="N26" s="423"/>
      <c r="O26" s="423"/>
      <c r="P26" s="423">
        <v>75000</v>
      </c>
      <c r="Q26" s="423"/>
      <c r="R26" s="423"/>
      <c r="S26" s="423"/>
      <c r="T26" s="423"/>
      <c r="U26" s="413">
        <v>40000</v>
      </c>
      <c r="V26" s="413">
        <v>0</v>
      </c>
      <c r="W26" s="413">
        <v>0</v>
      </c>
      <c r="X26" s="413">
        <v>0</v>
      </c>
      <c r="Y26" s="414">
        <v>82000</v>
      </c>
      <c r="Z26" s="414">
        <v>0</v>
      </c>
      <c r="AA26" s="414">
        <v>0</v>
      </c>
      <c r="AB26" s="414">
        <v>0</v>
      </c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15">
        <v>75000</v>
      </c>
      <c r="BB26" s="415">
        <v>0</v>
      </c>
      <c r="BC26" s="415">
        <v>0</v>
      </c>
      <c r="BD26" s="415">
        <v>0</v>
      </c>
    </row>
    <row r="27" spans="2:56" ht="18.75" customHeight="1" hidden="1">
      <c r="B27" s="27">
        <f t="shared" si="0"/>
        <v>14</v>
      </c>
      <c r="C27" s="528" t="s">
        <v>377</v>
      </c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30"/>
      <c r="Q27" s="412"/>
      <c r="R27" s="412"/>
      <c r="S27" s="412"/>
      <c r="T27" s="412"/>
      <c r="U27" s="413"/>
      <c r="V27" s="413"/>
      <c r="W27" s="413"/>
      <c r="X27" s="413"/>
      <c r="Y27" s="414"/>
      <c r="Z27" s="414"/>
      <c r="AA27" s="414"/>
      <c r="AB27" s="414"/>
      <c r="AC27" s="415"/>
      <c r="AD27" s="415"/>
      <c r="AE27" s="415"/>
      <c r="AF27" s="415"/>
      <c r="AG27" s="416"/>
      <c r="AH27" s="416"/>
      <c r="AI27" s="416"/>
      <c r="AJ27" s="416"/>
      <c r="AK27" s="414"/>
      <c r="AL27" s="414"/>
      <c r="AM27" s="414"/>
      <c r="AN27" s="414"/>
      <c r="AO27" s="413"/>
      <c r="AP27" s="413"/>
      <c r="AQ27" s="413"/>
      <c r="AR27" s="413"/>
      <c r="AS27" s="414"/>
      <c r="AT27" s="414"/>
      <c r="AU27" s="414"/>
      <c r="AV27" s="414"/>
      <c r="AW27" s="415"/>
      <c r="AX27" s="415"/>
      <c r="AY27" s="415"/>
      <c r="AZ27" s="415"/>
      <c r="BA27" s="415"/>
      <c r="BB27" s="412"/>
      <c r="BC27" s="412"/>
      <c r="BD27" s="412"/>
    </row>
    <row r="28" spans="2:56" ht="25.5">
      <c r="B28" s="27">
        <f t="shared" si="0"/>
        <v>15</v>
      </c>
      <c r="C28" s="30" t="s">
        <v>380</v>
      </c>
      <c r="D28" s="407" t="s">
        <v>348</v>
      </c>
      <c r="E28" s="408" t="s">
        <v>381</v>
      </c>
      <c r="F28" s="411">
        <v>1950000</v>
      </c>
      <c r="G28" s="89"/>
      <c r="H28" s="89">
        <v>825000</v>
      </c>
      <c r="I28" s="89">
        <f>720000+175000</f>
        <v>895000</v>
      </c>
      <c r="J28" s="89">
        <v>238000</v>
      </c>
      <c r="K28" s="89">
        <v>429000</v>
      </c>
      <c r="L28" s="89">
        <v>0</v>
      </c>
      <c r="M28" s="89">
        <v>0</v>
      </c>
      <c r="N28" s="89">
        <v>0</v>
      </c>
      <c r="O28" s="89">
        <v>0</v>
      </c>
      <c r="P28" s="89">
        <v>230000</v>
      </c>
      <c r="Q28" s="412">
        <v>0</v>
      </c>
      <c r="R28" s="412">
        <v>0</v>
      </c>
      <c r="S28" s="412">
        <v>0</v>
      </c>
      <c r="T28" s="412">
        <v>0</v>
      </c>
      <c r="U28" s="413">
        <f>942800-175000</f>
        <v>767800</v>
      </c>
      <c r="V28" s="413">
        <v>0</v>
      </c>
      <c r="W28" s="413">
        <v>0</v>
      </c>
      <c r="X28" s="413">
        <v>57200</v>
      </c>
      <c r="Y28" s="414">
        <f>72000+175000</f>
        <v>247000</v>
      </c>
      <c r="Z28" s="414">
        <v>0</v>
      </c>
      <c r="AA28" s="414">
        <v>0</v>
      </c>
      <c r="AB28" s="414">
        <v>648000</v>
      </c>
      <c r="AC28" s="415"/>
      <c r="AD28" s="415"/>
      <c r="AE28" s="415"/>
      <c r="AF28" s="415"/>
      <c r="AG28" s="416"/>
      <c r="AH28" s="416"/>
      <c r="AI28" s="416"/>
      <c r="AJ28" s="416"/>
      <c r="AK28" s="414"/>
      <c r="AL28" s="414"/>
      <c r="AM28" s="414"/>
      <c r="AN28" s="414"/>
      <c r="AO28" s="413"/>
      <c r="AP28" s="413"/>
      <c r="AQ28" s="413"/>
      <c r="AR28" s="413"/>
      <c r="AS28" s="414"/>
      <c r="AT28" s="414"/>
      <c r="AU28" s="414"/>
      <c r="AV28" s="414"/>
      <c r="AW28" s="415"/>
      <c r="AX28" s="415"/>
      <c r="AY28" s="415"/>
      <c r="AZ28" s="415"/>
      <c r="BA28" s="415">
        <v>20000</v>
      </c>
      <c r="BB28" s="412">
        <v>0</v>
      </c>
      <c r="BC28" s="412">
        <v>0</v>
      </c>
      <c r="BD28" s="412">
        <v>210000</v>
      </c>
    </row>
    <row r="29" spans="2:56" ht="20.25" customHeight="1" hidden="1">
      <c r="B29" s="27">
        <f t="shared" si="0"/>
        <v>15</v>
      </c>
      <c r="C29" s="528" t="s">
        <v>382</v>
      </c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30"/>
      <c r="Q29" s="412"/>
      <c r="R29" s="412"/>
      <c r="S29" s="412"/>
      <c r="T29" s="412"/>
      <c r="U29" s="413"/>
      <c r="V29" s="413"/>
      <c r="W29" s="413"/>
      <c r="X29" s="413"/>
      <c r="Y29" s="414"/>
      <c r="Z29" s="414"/>
      <c r="AA29" s="414"/>
      <c r="AB29" s="414"/>
      <c r="AC29" s="415"/>
      <c r="AD29" s="415"/>
      <c r="AE29" s="415"/>
      <c r="AF29" s="415"/>
      <c r="AG29" s="416"/>
      <c r="AH29" s="416"/>
      <c r="AI29" s="416"/>
      <c r="AJ29" s="416"/>
      <c r="AK29" s="414"/>
      <c r="AL29" s="414"/>
      <c r="AM29" s="414"/>
      <c r="AN29" s="414"/>
      <c r="AO29" s="413"/>
      <c r="AP29" s="413"/>
      <c r="AQ29" s="413"/>
      <c r="AR29" s="413"/>
      <c r="AS29" s="414"/>
      <c r="AT29" s="414"/>
      <c r="AU29" s="414"/>
      <c r="AV29" s="414"/>
      <c r="AW29" s="415"/>
      <c r="AX29" s="415"/>
      <c r="AY29" s="415"/>
      <c r="AZ29" s="415"/>
      <c r="BA29" s="415"/>
      <c r="BB29" s="412"/>
      <c r="BC29" s="412"/>
      <c r="BD29" s="412"/>
    </row>
    <row r="30" spans="2:56" ht="25.5">
      <c r="B30" s="27">
        <f t="shared" si="0"/>
        <v>16</v>
      </c>
      <c r="C30" s="131" t="s">
        <v>383</v>
      </c>
      <c r="D30" s="407" t="s">
        <v>348</v>
      </c>
      <c r="E30" s="408" t="s">
        <v>384</v>
      </c>
      <c r="F30" s="411">
        <v>1486138</v>
      </c>
      <c r="G30" s="89">
        <v>1121.91</v>
      </c>
      <c r="H30" s="423">
        <v>148000</v>
      </c>
      <c r="I30" s="423">
        <v>100000</v>
      </c>
      <c r="J30" s="414"/>
      <c r="K30" s="414"/>
      <c r="L30" s="414"/>
      <c r="M30" s="414"/>
      <c r="N30" s="414"/>
      <c r="O30" s="414" t="e">
        <f>1200000-G30-#REF!</f>
        <v>#REF!</v>
      </c>
      <c r="P30" s="423">
        <v>49682</v>
      </c>
      <c r="Q30" s="412">
        <v>15343</v>
      </c>
      <c r="R30" s="412">
        <v>0</v>
      </c>
      <c r="S30" s="412">
        <v>0</v>
      </c>
      <c r="T30" s="412">
        <v>0</v>
      </c>
      <c r="U30" s="413">
        <v>148000</v>
      </c>
      <c r="V30" s="413">
        <v>0</v>
      </c>
      <c r="W30" s="413">
        <v>0</v>
      </c>
      <c r="X30" s="413">
        <v>0</v>
      </c>
      <c r="Y30" s="414">
        <v>100000</v>
      </c>
      <c r="Z30" s="414">
        <v>0</v>
      </c>
      <c r="AA30" s="414">
        <v>0</v>
      </c>
      <c r="AB30" s="414">
        <v>0</v>
      </c>
      <c r="AC30" s="415"/>
      <c r="AD30" s="415"/>
      <c r="AE30" s="415"/>
      <c r="AF30" s="415"/>
      <c r="AG30" s="416"/>
      <c r="AH30" s="416"/>
      <c r="AI30" s="416"/>
      <c r="AJ30" s="416"/>
      <c r="AK30" s="414"/>
      <c r="AL30" s="414"/>
      <c r="AM30" s="414"/>
      <c r="AN30" s="414"/>
      <c r="AO30" s="413"/>
      <c r="AP30" s="413"/>
      <c r="AQ30" s="413"/>
      <c r="AR30" s="413"/>
      <c r="AS30" s="414"/>
      <c r="AT30" s="414"/>
      <c r="AU30" s="414"/>
      <c r="AV30" s="414"/>
      <c r="AW30" s="415"/>
      <c r="AX30" s="415"/>
      <c r="AY30" s="415"/>
      <c r="AZ30" s="415"/>
      <c r="BA30" s="415">
        <v>49682</v>
      </c>
      <c r="BB30" s="412">
        <v>0</v>
      </c>
      <c r="BC30" s="412">
        <v>0</v>
      </c>
      <c r="BD30" s="412">
        <v>0</v>
      </c>
    </row>
    <row r="31" spans="2:56" ht="34.5" customHeight="1">
      <c r="B31" s="430"/>
      <c r="C31" s="431"/>
      <c r="D31" s="432"/>
      <c r="E31" s="433"/>
      <c r="F31" s="434">
        <f>SUM(F7:F30)</f>
        <v>42277639.4</v>
      </c>
      <c r="G31" s="434">
        <f aca="true" t="shared" si="1" ref="G31:BD31">SUM(G7:G30)</f>
        <v>54032.11</v>
      </c>
      <c r="H31" s="434">
        <f t="shared" si="1"/>
        <v>2400053</v>
      </c>
      <c r="I31" s="434">
        <f t="shared" si="1"/>
        <v>7006239.98</v>
      </c>
      <c r="J31" s="434">
        <f t="shared" si="1"/>
        <v>6400300</v>
      </c>
      <c r="K31" s="434">
        <f t="shared" si="1"/>
        <v>5969342</v>
      </c>
      <c r="L31" s="434">
        <f t="shared" si="1"/>
        <v>8334928</v>
      </c>
      <c r="M31" s="434">
        <f t="shared" si="1"/>
        <v>6730000</v>
      </c>
      <c r="N31" s="434">
        <f t="shared" si="1"/>
        <v>800000</v>
      </c>
      <c r="O31" s="434" t="e">
        <f t="shared" si="1"/>
        <v>#REF!</v>
      </c>
      <c r="P31" s="434">
        <f t="shared" si="1"/>
        <v>13198307</v>
      </c>
      <c r="Q31" s="434">
        <f t="shared" si="1"/>
        <v>194281</v>
      </c>
      <c r="R31" s="434">
        <f t="shared" si="1"/>
        <v>0</v>
      </c>
      <c r="S31" s="434">
        <f t="shared" si="1"/>
        <v>0</v>
      </c>
      <c r="T31" s="434">
        <f t="shared" si="1"/>
        <v>96300</v>
      </c>
      <c r="U31" s="434">
        <f t="shared" si="1"/>
        <v>2342853</v>
      </c>
      <c r="V31" s="434">
        <f t="shared" si="1"/>
        <v>0</v>
      </c>
      <c r="W31" s="434">
        <f t="shared" si="1"/>
        <v>0</v>
      </c>
      <c r="X31" s="434">
        <f t="shared" si="1"/>
        <v>57200</v>
      </c>
      <c r="Y31" s="434">
        <f t="shared" si="1"/>
        <v>3383239.98</v>
      </c>
      <c r="Z31" s="434">
        <f t="shared" si="1"/>
        <v>0</v>
      </c>
      <c r="AA31" s="434">
        <f t="shared" si="1"/>
        <v>0</v>
      </c>
      <c r="AB31" s="434">
        <f t="shared" si="1"/>
        <v>3623000</v>
      </c>
      <c r="AC31" s="434">
        <f t="shared" si="1"/>
        <v>0</v>
      </c>
      <c r="AD31" s="434">
        <f t="shared" si="1"/>
        <v>0</v>
      </c>
      <c r="AE31" s="434">
        <f t="shared" si="1"/>
        <v>0</v>
      </c>
      <c r="AF31" s="434">
        <f t="shared" si="1"/>
        <v>0</v>
      </c>
      <c r="AG31" s="434">
        <f t="shared" si="1"/>
        <v>0</v>
      </c>
      <c r="AH31" s="434">
        <f t="shared" si="1"/>
        <v>0</v>
      </c>
      <c r="AI31" s="434">
        <f t="shared" si="1"/>
        <v>0</v>
      </c>
      <c r="AJ31" s="434">
        <f t="shared" si="1"/>
        <v>0</v>
      </c>
      <c r="AK31" s="434">
        <f t="shared" si="1"/>
        <v>0</v>
      </c>
      <c r="AL31" s="434">
        <f t="shared" si="1"/>
        <v>0</v>
      </c>
      <c r="AM31" s="434">
        <f t="shared" si="1"/>
        <v>0</v>
      </c>
      <c r="AN31" s="434">
        <f t="shared" si="1"/>
        <v>0</v>
      </c>
      <c r="AO31" s="434">
        <f t="shared" si="1"/>
        <v>0</v>
      </c>
      <c r="AP31" s="434">
        <f t="shared" si="1"/>
        <v>0</v>
      </c>
      <c r="AQ31" s="434">
        <f t="shared" si="1"/>
        <v>0</v>
      </c>
      <c r="AR31" s="434">
        <f t="shared" si="1"/>
        <v>0</v>
      </c>
      <c r="AS31" s="434">
        <f t="shared" si="1"/>
        <v>0</v>
      </c>
      <c r="AT31" s="434">
        <f t="shared" si="1"/>
        <v>0</v>
      </c>
      <c r="AU31" s="434">
        <f t="shared" si="1"/>
        <v>0</v>
      </c>
      <c r="AV31" s="434">
        <f t="shared" si="1"/>
        <v>0</v>
      </c>
      <c r="AW31" s="434">
        <f t="shared" si="1"/>
        <v>0</v>
      </c>
      <c r="AX31" s="434">
        <f t="shared" si="1"/>
        <v>0</v>
      </c>
      <c r="AY31" s="434">
        <f t="shared" si="1"/>
        <v>0</v>
      </c>
      <c r="AZ31" s="434">
        <f t="shared" si="1"/>
        <v>0</v>
      </c>
      <c r="BA31" s="434">
        <f t="shared" si="1"/>
        <v>12988307</v>
      </c>
      <c r="BB31" s="434">
        <f t="shared" si="1"/>
        <v>0</v>
      </c>
      <c r="BC31" s="434">
        <f t="shared" si="1"/>
        <v>0</v>
      </c>
      <c r="BD31" s="434">
        <f t="shared" si="1"/>
        <v>210000</v>
      </c>
    </row>
  </sheetData>
  <mergeCells count="51">
    <mergeCell ref="AA1:AF1"/>
    <mergeCell ref="BB1:BD2"/>
    <mergeCell ref="B3:B6"/>
    <mergeCell ref="C3:C6"/>
    <mergeCell ref="D3:D6"/>
    <mergeCell ref="E3:E6"/>
    <mergeCell ref="F3:P3"/>
    <mergeCell ref="Q3:AB3"/>
    <mergeCell ref="F4:F6"/>
    <mergeCell ref="Q4:T4"/>
    <mergeCell ref="Y4:AB4"/>
    <mergeCell ref="AC4:AF4"/>
    <mergeCell ref="AG4:AJ4"/>
    <mergeCell ref="AK4:AN4"/>
    <mergeCell ref="AO4:AR4"/>
    <mergeCell ref="AS4:AV4"/>
    <mergeCell ref="AW4:AZ4"/>
    <mergeCell ref="BA4:BD4"/>
    <mergeCell ref="H5:H6"/>
    <mergeCell ref="I5:I6"/>
    <mergeCell ref="J5:J6"/>
    <mergeCell ref="K5:K6"/>
    <mergeCell ref="L5:L6"/>
    <mergeCell ref="M5:M6"/>
    <mergeCell ref="N5:N6"/>
    <mergeCell ref="O5:O6"/>
    <mergeCell ref="Y5:Y6"/>
    <mergeCell ref="Z5:Z6"/>
    <mergeCell ref="AA5:AA6"/>
    <mergeCell ref="P5:P6"/>
    <mergeCell ref="U5:U6"/>
    <mergeCell ref="V5:V6"/>
    <mergeCell ref="W5:W6"/>
    <mergeCell ref="BD5:BD6"/>
    <mergeCell ref="B7:B8"/>
    <mergeCell ref="C8:BD8"/>
    <mergeCell ref="B9:B10"/>
    <mergeCell ref="C10:BD10"/>
    <mergeCell ref="AB5:AB6"/>
    <mergeCell ref="BA5:BA6"/>
    <mergeCell ref="BB5:BB6"/>
    <mergeCell ref="BC5:BC6"/>
    <mergeCell ref="X5:X6"/>
    <mergeCell ref="B11:B12"/>
    <mergeCell ref="C12:BD12"/>
    <mergeCell ref="B16:B17"/>
    <mergeCell ref="C17:BD17"/>
    <mergeCell ref="C22:P22"/>
    <mergeCell ref="C25:P25"/>
    <mergeCell ref="C27:P27"/>
    <mergeCell ref="C29:P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Małgorzta Jaworska</cp:lastModifiedBy>
  <dcterms:created xsi:type="dcterms:W3CDTF">2007-07-24T12:50:32Z</dcterms:created>
  <dcterms:modified xsi:type="dcterms:W3CDTF">2007-11-28T11:08:03Z</dcterms:modified>
  <cp:category/>
  <cp:version/>
  <cp:contentType/>
  <cp:contentStatus/>
</cp:coreProperties>
</file>