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4"/>
  </bookViews>
  <sheets>
    <sheet name="Zał.Nr1" sheetId="1" r:id="rId1"/>
    <sheet name="Zał.Nr2" sheetId="2" r:id="rId2"/>
    <sheet name="Zał.Nr3" sheetId="3" r:id="rId3"/>
    <sheet name="Zał.Nr4" sheetId="4" r:id="rId4"/>
    <sheet name="Prognoza długu" sheetId="5" r:id="rId5"/>
    <sheet name="Zał.Nr5" sheetId="6" r:id="rId6"/>
    <sheet name="Zał.Nr6" sheetId="7" r:id="rId7"/>
    <sheet name="Zał.Nr7" sheetId="8" r:id="rId8"/>
    <sheet name="Zał.Nr8" sheetId="9" r:id="rId9"/>
  </sheets>
  <definedNames/>
  <calcPr fullCalcOnLoad="1"/>
</workbook>
</file>

<file path=xl/sharedStrings.xml><?xml version="1.0" encoding="utf-8"?>
<sst xmlns="http://schemas.openxmlformats.org/spreadsheetml/2006/main" count="933" uniqueCount="486">
  <si>
    <t>DOCHODY GMINY KAŹMIERZ W 2005r.</t>
  </si>
  <si>
    <t>Zał.Nr 1 do Uchwały nr XXVIII/184/04 Rady Gminy Kaźmierz z dn.20.12.2004r.</t>
  </si>
  <si>
    <t>Dz</t>
  </si>
  <si>
    <t>Rozdz</t>
  </si>
  <si>
    <t>§</t>
  </si>
  <si>
    <t>Treść</t>
  </si>
  <si>
    <t xml:space="preserve">Plan dochodów budżetowych na 2005r.               </t>
  </si>
  <si>
    <t>Zmiany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</si>
  <si>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</si>
  <si>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</si>
  <si>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</si>
  <si>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</si>
  <si>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</si>
  <si>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</si>
  <si>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</si>
  <si>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</si>
  <si>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</si>
  <si>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</si>
  <si>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</si>
  <si>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</si>
  <si>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</si>
  <si>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</si>
  <si>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</si>
  <si>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</si>
  <si>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</si>
  <si>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</si>
  <si>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Za dzierżawę polnych obwodów łowieckich </t>
  </si>
  <si>
    <t>Wytwarzanie i zaopatrywanie w energię elektryczną, gaz i wodę</t>
  </si>
  <si>
    <t>Dostarczanie wody</t>
  </si>
  <si>
    <t>0490</t>
  </si>
  <si>
    <t>Wpływy z innych lokalnych opłat pobieranych przez jednostki samorządu terytorialnego na podstawie odrębnych ustaw</t>
  </si>
  <si>
    <t>Opłaty za nowe przyłącza wodociągowe</t>
  </si>
  <si>
    <t>Transport i łączność</t>
  </si>
  <si>
    <t>Drogi publiczne gminne</t>
  </si>
  <si>
    <t>Dotacje otrzymane z funduszy celowych na finansowanie lub dofinansowanie kosztów realizacji inwestycji i zakupów inwestycyjnych jednostek sektora finansów publicznych</t>
  </si>
  <si>
    <t>FOGR 58.500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</si>
  <si>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</si>
  <si>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</si>
  <si>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</si>
  <si>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</si>
  <si>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Opłaty za grunty oddane w użytkowanie wieczyste</t>
  </si>
  <si>
    <t xml:space="preserve">Za dzierżawę gruntów rolnych , gruntów pod reklamy , gruntów pod garażem, gruntów pod usługi,  gruntów pod wieżą telefonii komórkowej, za dzierżawę przydrożnej alei drzew owocowych, za najem lokali użytkowych </t>
  </si>
  <si>
    <t>0770</t>
  </si>
  <si>
    <t>Wpłaty z tytułu odpłatnego nabycia prawa własności oraz prawa użytkowania wieczystego nieruchomości</t>
  </si>
  <si>
    <t>Raty za wykup mieszkań i budynków , sprzedaż nieruchomości</t>
  </si>
  <si>
    <t>0910</t>
  </si>
  <si>
    <t>Odsetki od nieterminowych wpłat z tytułu podatków i opłat</t>
  </si>
  <si>
    <t>0920</t>
  </si>
  <si>
    <t>Pozostałe odsetki</t>
  </si>
  <si>
    <t>Odsetki z ratalnej sprzedaży mieszkań i budynków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</si>
  <si>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</si>
  <si>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</si>
  <si>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</si>
  <si>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Pismo Wojewody Wielkopolskiego z dnia 21.10.2004r., znak FB.I-3.3010-28/04</t>
  </si>
  <si>
    <t>Dochody jednostek samorządu terytorialnego związane z realizacją zadań z zakresu administracji rządowej oraz innych zadań zleconych ustawami</t>
  </si>
  <si>
    <t>5% kwoty zaplanowanej przez Wojewodę Wielkopolskiego (pismo Wojewody Wielkopolskiego z dnia 21.10.2004r., znak FB.I-3.3010-28/04)</t>
  </si>
  <si>
    <t>Urzędy gmin</t>
  </si>
  <si>
    <t>0690</t>
  </si>
  <si>
    <t>Wpływy z różnych opłat</t>
  </si>
  <si>
    <t>Opłaty za druki, specyfikacje do przetargów</t>
  </si>
  <si>
    <t>Urzędy naczelnych organów władzy państwowej, kontroli i ochrony prawa i sądownictwa</t>
  </si>
  <si>
    <t>Urzędy naczelnych organów władzy państwowej, kontroli i ochrony prawa</t>
  </si>
  <si>
    <t>Dotacja na prowadzenie stałego rejestru wyborców w 2005r. Pismo Krajowego Biura Wyborczego Delegatura w Pile z dnia 22.10.2004r, znak DPL 0301-8/04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</si>
  <si>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</si>
  <si>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</si>
  <si>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</si>
  <si>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</si>
  <si>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</si>
  <si>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</si>
  <si>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</si>
  <si>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</si>
  <si>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</si>
  <si>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Uchwała nr XXVI/177/04 Rady Gminy Kaźmierz z dnia 18 listopada 2004r.</t>
  </si>
  <si>
    <t>0320</t>
  </si>
  <si>
    <t>Podatek rolny</t>
  </si>
  <si>
    <t>Przyjęto cenę GUS 1q żyta 37,67 (MP43, poz.765)</t>
  </si>
  <si>
    <t>0330</t>
  </si>
  <si>
    <t>Podatek leśny</t>
  </si>
  <si>
    <t>Przyjęto cenę GUS 120,40 (MP44, poz.781)</t>
  </si>
  <si>
    <t>0340</t>
  </si>
  <si>
    <t>Podatek od środków transportowych</t>
  </si>
  <si>
    <t>Uchwała nr XXVI/175/04 Rady Gminy Kaźmierz z dnia 18 listopada 2004r.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</si>
  <si>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</si>
  <si>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</si>
  <si>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</si>
  <si>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</si>
  <si>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</si>
  <si>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</si>
  <si>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</si>
  <si>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Uchwała nr XXVI/179/04 Rady Gminy Kaźmierz z dnia 18 listopada 2004r.</t>
  </si>
  <si>
    <t>0430</t>
  </si>
  <si>
    <t>Wpływy z opłaty targowej</t>
  </si>
  <si>
    <t>Uchwała nr XV/101/03 Rady Gminy Kaźmierz z dnia 27 listopada 2003r.</t>
  </si>
  <si>
    <t>0450</t>
  </si>
  <si>
    <t>Wpływy z opłaty administracyjnej za czynności urzędowe</t>
  </si>
  <si>
    <t>Za wyrys i wypis z planu zagospodarowania przestrzennego,Uchwała XV/103/03 Rady Gminy Kaźmierz z dnia 27 listpada 2003r.</t>
  </si>
  <si>
    <t>Odsetki za nieterminowe regulowanie należności podatkowych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</si>
  <si>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</si>
  <si>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</si>
  <si>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</si>
  <si>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</si>
  <si>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</si>
  <si>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</si>
  <si>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</si>
  <si>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Wpływy z opłaty planistycznej, z opłat za wpis i zmianę wpisu do ewidencji działalności gospodarczej</t>
  </si>
  <si>
    <t>Udziały gmin w podatkach stanowiących dochód budżetu państwa</t>
  </si>
  <si>
    <t>0010</t>
  </si>
  <si>
    <t>Podatek dochodowy od osób fizycznych</t>
  </si>
  <si>
    <t>Załącznik do pisma Ministra Finansów z dnia 13.10.2004r., znak ST3-4820-52/2004</t>
  </si>
  <si>
    <t>0020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</si>
  <si>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</si>
  <si>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</si>
  <si>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</si>
  <si>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</si>
  <si>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Część rekompensująca subwencji ogólnej dla samorządu terytorialnego</t>
  </si>
  <si>
    <t>Część wyrównawcza subwencji ogólnej dla gmin</t>
  </si>
  <si>
    <t>Różne rozliczenia finansowe</t>
  </si>
  <si>
    <t>Środki z kapitalizacji odsetek na kontach bankowych</t>
  </si>
  <si>
    <t>Oświata i wychowanie</t>
  </si>
  <si>
    <t>Szkoły podstawowe</t>
  </si>
  <si>
    <t>Za wynajem lokalu szkolnego.</t>
  </si>
  <si>
    <t xml:space="preserve">Przedszkola </t>
  </si>
  <si>
    <t>0830</t>
  </si>
  <si>
    <t>Wpływy z usług</t>
  </si>
  <si>
    <t>Uchwała nr XXVI/172/04 Rady Gminy Kaźmierz z dnia 18 listopada 2004r.</t>
  </si>
  <si>
    <t>Gimnazja</t>
  </si>
  <si>
    <t>Środki na dofinasowanie własnych inwestycji gmin pozyskane z innych źródeł</t>
  </si>
  <si>
    <t>Dofinansowanie projektu w ramach Priorytetu 3 z środków ZPORR</t>
  </si>
  <si>
    <t>Dotacje celowe otrzymane z budżetu państwa na realizację inwestycji i zakupów inwestycyjnych własnych gmin</t>
  </si>
  <si>
    <t>Dofinansowanie projektu w ramach Priorytetu 3 z środków budżetu Państwa</t>
  </si>
  <si>
    <t>Dowożenie uczniów</t>
  </si>
  <si>
    <t>0970</t>
  </si>
  <si>
    <t>Wpływy z różnych dochodów</t>
  </si>
  <si>
    <t>Zespoły obsługi ekonomiczno-administracyjnej szkół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</si>
  <si>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</si>
  <si>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</si>
  <si>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</si>
  <si>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</si>
  <si>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Dotacje celowe przekazane z budżetu państwa na realizację własnych zadań bieżących gmin</t>
  </si>
  <si>
    <t>Zasiłki rodzinne, pielęgnacyjne i wychowawcze</t>
  </si>
  <si>
    <t>Ośrodki pomocy społecznej</t>
  </si>
  <si>
    <t>Kapitalizacja odsetek na koncie bankowym GOPS</t>
  </si>
  <si>
    <t>Usuwanie skutków klęsk żywiołowych</t>
  </si>
  <si>
    <t>Gospodarka komunalna i ochrona środowiska</t>
  </si>
  <si>
    <t>Gospodarka ściekowa i ochrona wód</t>
  </si>
  <si>
    <t>Opłaty za nowe przyłącza kanalizacyjne</t>
  </si>
  <si>
    <t>Fundusz Ochrony Środowiska i Gospodarki Wodnej</t>
  </si>
  <si>
    <t>0400</t>
  </si>
  <si>
    <t>Wpływy z opłaty produktowej</t>
  </si>
  <si>
    <t>OGÓŁEM</t>
  </si>
  <si>
    <t>WYDATKI GMINY KAŹMIERZ W 2005r.</t>
  </si>
  <si>
    <t>Zał.Nr 2 do Uchwały nr XXVIII/184/04 Rady Gminy Kaźmierz z dn.20.12.2004r.</t>
  </si>
  <si>
    <t>Rozdz.</t>
  </si>
  <si>
    <t>Plan wydatków budżetowych na 2005r.</t>
  </si>
  <si>
    <t>010</t>
  </si>
  <si>
    <t>Rolnictwo i łowiectwo</t>
  </si>
  <si>
    <t>01008</t>
  </si>
  <si>
    <t>Melioracje wodne</t>
  </si>
  <si>
    <t>Zakup materiałów i wyposażenia</t>
  </si>
  <si>
    <t>Materiały melioracyjne</t>
  </si>
  <si>
    <t>Zakup usług remontowych</t>
  </si>
  <si>
    <t>Bieżące utrzymanie urządzeń melioracji wodnej, konserawcja , odmulanie dna, odbudowa skarp, wykaszanie skarp i dna, hakowanie oraz czyszczenie wylotów drenarskich.</t>
  </si>
  <si>
    <t>Zakup usług pozostałych</t>
  </si>
  <si>
    <t>01010</t>
  </si>
  <si>
    <t>Infrastruktura wodociągowa i sanitacji wsi</t>
  </si>
  <si>
    <t>Wydatki inwestycyjne jednostek budżetowych</t>
  </si>
  <si>
    <r>
      <t xml:space="preserve">Budowa sieci wodociągowych:Gaj Wielki-Młodasko-Bytyń </t>
    </r>
    <r>
      <rPr>
        <b/>
        <sz val="10"/>
        <rFont val="Times New Roman CE"/>
        <family val="0"/>
      </rPr>
      <t>100.000,00</t>
    </r>
    <r>
      <rPr>
        <sz val="10"/>
        <rFont val="Times New Roman CE"/>
        <family val="1"/>
      </rPr>
      <t xml:space="preserve">, Pólko obręb Wierzchaczewo </t>
    </r>
    <r>
      <rPr>
        <b/>
        <sz val="10"/>
        <rFont val="Times New Roman CE"/>
        <family val="0"/>
      </rPr>
      <t>8.000,00</t>
    </r>
    <r>
      <rPr>
        <sz val="10"/>
        <rFont val="Times New Roman CE"/>
        <family val="1"/>
      </rPr>
      <t xml:space="preserve">, K-rz ul.Polna-Reja </t>
    </r>
    <r>
      <rPr>
        <b/>
        <sz val="10"/>
        <rFont val="Times New Roman CE"/>
        <family val="0"/>
      </rPr>
      <t>101.000,00</t>
    </r>
    <r>
      <rPr>
        <sz val="10"/>
        <rFont val="Times New Roman CE"/>
        <family val="1"/>
      </rPr>
      <t xml:space="preserve">, K-rz ul.Szkolna </t>
    </r>
    <r>
      <rPr>
        <b/>
        <sz val="10"/>
        <rFont val="Times New Roman CE"/>
        <family val="0"/>
      </rPr>
      <t>121.000,00</t>
    </r>
    <r>
      <rPr>
        <sz val="10"/>
        <rFont val="Times New Roman CE"/>
        <family val="1"/>
      </rPr>
      <t xml:space="preserve">, Młodasko </t>
    </r>
    <r>
      <rPr>
        <b/>
        <sz val="10"/>
        <rFont val="Times New Roman CE"/>
        <family val="0"/>
      </rPr>
      <t>83.440,00</t>
    </r>
    <r>
      <rPr>
        <sz val="10"/>
        <rFont val="Times New Roman CE"/>
        <family val="1"/>
      </rPr>
      <t xml:space="preserve">, Radzyny </t>
    </r>
    <r>
      <rPr>
        <b/>
        <sz val="10"/>
        <rFont val="Times New Roman CE"/>
        <family val="0"/>
      </rPr>
      <t>8.000,00,</t>
    </r>
    <r>
      <rPr>
        <sz val="10"/>
        <rFont val="Times New Roman CE"/>
        <family val="1"/>
      </rPr>
      <t xml:space="preserve"> SUW Gaj Wielki </t>
    </r>
    <r>
      <rPr>
        <b/>
        <sz val="10"/>
        <rFont val="Times New Roman CE"/>
        <family val="0"/>
      </rPr>
      <t>80.000,00</t>
    </r>
  </si>
  <si>
    <t>01022</t>
  </si>
  <si>
    <t>Zwalczanie chorób zakaźnych zwierząt oraz badania monitoringowe pozostałości chemicznych i biologicznych w tkankach zwierząt i produktach pochodzenia zwierzęcego</t>
  </si>
  <si>
    <t>Koszty związane z odbiorem padliny z terenu gminy zgodnie z art..9 ust.1 i 7 ustawy z dnia 24 kwietnia 1997r. o zwalczaniu chorób zakaźnych zwierząt (Dz.U. z 1999r. Nr 66 poz.752 z późn.zmianami) Umowa z firmą STRUGA S.A.</t>
  </si>
  <si>
    <t>01030</t>
  </si>
  <si>
    <t>Izby rolnicze</t>
  </si>
  <si>
    <t>Wpłaty gmin na rzecz izb rolniczych w wysokości 2% uzyskanych wpływów z podatku rolnego</t>
  </si>
  <si>
    <t>Odpis w wysokości 2% należne izbom rolniczym art..35 ust.1 pkt1 ustawy z dnia 14.12.1995r. o izbach rolniczych (t.j. Dz.U. z 2002r. Nr101, poz 927 ze zm.)</t>
  </si>
  <si>
    <t>01095</t>
  </si>
  <si>
    <t>Organizacja Dożynek Gminnych 2005, konkurs Piękna Wieś, wieńce dożynkowe</t>
  </si>
  <si>
    <t>Zakup drzewek i palików</t>
  </si>
  <si>
    <t>Cięcie i wycinka drzew</t>
  </si>
  <si>
    <t xml:space="preserve">Budowa chodnika w Kaźmierzu ul.Szkolna </t>
  </si>
  <si>
    <t xml:space="preserve">Różne jednostki obsługi gospodarki mieszkaniowej </t>
  </si>
  <si>
    <t xml:space="preserve">Dotacja przedmiotowa z budżetu dla zakładu budżetowego </t>
  </si>
  <si>
    <t>Dotacja przedmiotowa dla ZUK w Kaźmierzu, zgodnie z uchwałą Nr XVII/115/03 Rady Gminy Kaźmierz z dn.30.12.2003r.,zmienionej uchwałą nr XVIII/121/04 Rady Gminy Kaźmierz z dn.05.03.2004</t>
  </si>
  <si>
    <r>
      <t>Wykup nieruchomości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 i dróg </t>
    </r>
    <r>
      <rPr>
        <sz val="10"/>
        <rFont val="Times New Roman CE"/>
        <family val="1"/>
      </rPr>
      <t xml:space="preserve"> oraz zakup tabliczek z nazwami ulic i numerami domów</t>
    </r>
  </si>
  <si>
    <t>Ogłoszenia o przetargach, wycena nieruchomości, podziały nieruchomości, opłaty sądowe za założenie księgi wieczystej i za wypis prawa własności, mapy, wyciągi, odtworzenie granic, koszty komunalizacyjne</t>
  </si>
  <si>
    <t>Przebudowa płyty Rynku w Kaźmierzu</t>
  </si>
  <si>
    <t>Działalność usługowa</t>
  </si>
  <si>
    <t>Plany zagospodarowania przestrzennego</t>
  </si>
  <si>
    <t>Plan zagospodarowania przestrzennego Kaźmierz ul.Leśna-Czereśniowa, ul.Szmotulska-Polna, Bytyń przy drodze do Pierska, ul.Leśna Zbiornik</t>
  </si>
  <si>
    <t>Opracowania geodezyjne i kartograficzne</t>
  </si>
  <si>
    <t>Usługi geodezyjne i urbanistyczne</t>
  </si>
  <si>
    <t>Wynagrodzenia osobowe pracowników</t>
  </si>
  <si>
    <t>Realizacja zadań rządowych zleconych gminom</t>
  </si>
  <si>
    <t>Składki na ubezpieczenie społeczne</t>
  </si>
  <si>
    <t>Rady gmin</t>
  </si>
  <si>
    <t>Różne wydatki na rzecz osób fizycznych</t>
  </si>
  <si>
    <t>Diety radnych zgodnie z Uchwałą Nr II/16/02 Rady Gminy Kaźmierz z dnia 04.12.2002, ze zm. Uchwała Nr XVI/108/03 z dn.22.12.2003r i Uchwała Nr XiX/124/04 z dn.19.03.2004r.</t>
  </si>
  <si>
    <t>Kontakty partnerskie z Bystrzycą Kłodzką, Ujściem i Litwą, art.związane z obsługą Biura Rady, oraz zakup mebli do sali sesyjnej, sprzętu audiowizualnego i prenumerata Współnoty</t>
  </si>
  <si>
    <t>Usługi związane z obsługą Biura Rady, usługi poligraficzne związane z wydawaniem Obserwatora</t>
  </si>
  <si>
    <t>Podróże służbowe krajowe</t>
  </si>
  <si>
    <t>Koszty delegacji  krajowych</t>
  </si>
  <si>
    <t>Podróże służbowe zagraniczna</t>
  </si>
  <si>
    <t>Koszty delegacji zagranicznych</t>
  </si>
  <si>
    <t>Nagrody i wydatki osobowe nie zaliczone do wynagrodzeń</t>
  </si>
  <si>
    <t>Środki Bhp, ekwiwalenty za pranie</t>
  </si>
  <si>
    <t xml:space="preserve">Wynagrodzenia pracowników UG i bezrobotnych, nagrody jubileuszowe, odprawy emerytalne </t>
  </si>
  <si>
    <t>Dodatkowe wynagrodzenia roczne</t>
  </si>
  <si>
    <t>Składki na Fundusz Pracy</t>
  </si>
  <si>
    <t xml:space="preserve"> Art.biurowe,wydatki USC, wydatki sekretariatu, zakup wyposażenia, dodatkowego oprogramowania</t>
  </si>
  <si>
    <t>Zakup energii</t>
  </si>
  <si>
    <t>Energia, woda, gaz, dostawa energii cieplnej</t>
  </si>
  <si>
    <t>Konserwacja centrali telefonicznej, konserwacja systemu alarmowego, urządzeń klimatyzacji oraz pozostałego sprzętu biurowego i wposażenia oraz bieżące naperawy i remonty</t>
  </si>
  <si>
    <t xml:space="preserve">Koszty usług telekomunikacyjnych, pocztowych, bankowych, ochrona obiektu, konserwacje sprzętu,szkolenia pracowników </t>
  </si>
  <si>
    <t xml:space="preserve">Delegacje w tym ryczałty samochodowe </t>
  </si>
  <si>
    <t>Różne opłaty i składki</t>
  </si>
  <si>
    <t>Składki WOKIS , ZGWRP, SGiPW , Stowarzyszenie Ekologicznych Gmin ZACHÓD ubezpieczenie sprzętu i budynków</t>
  </si>
  <si>
    <t>Odpisy na zakładowy fundusz świadczeń socjalnych</t>
  </si>
  <si>
    <t>Zakup sprzętu komuterowego dla 9 stanowisk , drukarka laserowa , skaner lub urządzenie wielofunkcyjne , monitory LCD, utworzenie środowiska systemu obiegu dokumentów  (serwer+system operacyjny)</t>
  </si>
  <si>
    <t>Wydatki sołectw, utrzymanie  świetlic wiejskich, organizacja imprez okolicznościowych na terenie sołectw gminnych</t>
  </si>
  <si>
    <t xml:space="preserve">Zakup usług remontowych </t>
  </si>
  <si>
    <t>Urzędy naczelnych organów władzy państwowej, kontroli i ochrony prawa oraz sądownictwa</t>
  </si>
  <si>
    <t xml:space="preserve">Urzędy naczelnych organów władzy państwowej, kontroli i ochrony prawa </t>
  </si>
  <si>
    <t>Jednostki terenowe Policji</t>
  </si>
  <si>
    <t xml:space="preserve">Zakup paliwa dla jednostki policji 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</si>
  <si>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</si>
  <si>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</si>
  <si>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Dotacja dla jednostek OSP na zakup sprzetu pożarniczego i ratowniczego z dotacjami z MSWiA, ZGł.ZOSP, ZW ZOSP</t>
  </si>
  <si>
    <t>Diety za udział w akcjach. Koszt wynika z liczby wyjazdów x liczba strażaków x liczba godzin x 3,50zł</t>
  </si>
  <si>
    <t>Paliwo do pojazdów i motopomp, części zamienne, zakup węgla dla OSP Bytyń, węże W52 i W75, materiały bieżącego utrzymania sprzętu i budynków strażnic, materiały związane z konkursami wiedzy pożarniczej oraz z Dniem Strażaka, materiały potrzebne do zorganizaowania zawodów pożarniczych oraz rajdu młodzieżowych drużyn pożarniczych. Prenumerata miesięcznika Strażak</t>
  </si>
  <si>
    <t>Zakup energii w strażnicach OSP oraz gazu w strażnicy w Kaźmierzu i Kopaninie</t>
  </si>
  <si>
    <t>Naprawy pojazdów i sprzętu pożarniczego, prace remontowe strażnic w Kopaninie i Kaźmierzu (prace elewacyjne)</t>
  </si>
  <si>
    <t>Badania i opłaty, przeglądy i badania techniczne pojazdów, badania okresowe kierowców i strażaków</t>
  </si>
  <si>
    <t xml:space="preserve">Koszty delegacji </t>
  </si>
  <si>
    <t>ubezpieczenia  AC, OC, NW pojazdów i NW strażaków</t>
  </si>
  <si>
    <t>Realizacja zadań rządowych zleconych gminom z zakresu obrony cywilnej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</si>
  <si>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</si>
  <si>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</si>
  <si>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</si>
  <si>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Wynagrodzenie inkasentów</t>
  </si>
  <si>
    <t>Zakup druków</t>
  </si>
  <si>
    <t>Koszty postępowania sądowego i prokuratorskiego</t>
  </si>
  <si>
    <t>Opłaty komornicze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</si>
  <si>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</si>
  <si>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</si>
  <si>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</si>
  <si>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Odsetki kredytowe</t>
  </si>
  <si>
    <t>Rezerwy ogólne i celowe</t>
  </si>
  <si>
    <t>Ustawa o finansach publicznych Art..116 ust.4 rezerwa ogólna nie może być wyższa niż 1% wydatków budżetu</t>
  </si>
  <si>
    <t>Rezerwy</t>
  </si>
  <si>
    <t>Dodatki mieszkaniowe, dodatki wiejskie, środki Bhp dla nauczycieli i pracowników oświaty</t>
  </si>
  <si>
    <t>Stypendia oraz inne formy pomocy dla uczniów</t>
  </si>
  <si>
    <t>Wynagrodzenia osobowe, w tym odprawy emerytalne</t>
  </si>
  <si>
    <t>Materiały biurowe, środki czystości, olej opałowy , węgiel</t>
  </si>
  <si>
    <t>Pomoce naukowe i dydaktyczne, książki</t>
  </si>
  <si>
    <t>Zakup lektur szkolnych, pomocy dydaktycznych.</t>
  </si>
  <si>
    <r>
      <t>Energia, woda, gaz CO</t>
    </r>
    <r>
      <rPr>
        <b/>
        <sz val="10"/>
        <rFont val="Times New Roman CE"/>
        <family val="1"/>
      </rPr>
      <t xml:space="preserve"> </t>
    </r>
  </si>
  <si>
    <t>Drobne remonty w szkołach podstawowych</t>
  </si>
  <si>
    <t>Opłaty RTV, opłaty za telefon, serwis sieci komputerowej, usługi komunalne, pralnie, badania pracownicze</t>
  </si>
  <si>
    <t>Koszty delegacji służbowych nauczycieli</t>
  </si>
  <si>
    <t>Odpis na Zakładowy Fundusz Świadczeń Socjalnych</t>
  </si>
  <si>
    <r>
      <t>SP Kaźmierz</t>
    </r>
    <r>
      <rPr>
        <sz val="10"/>
        <rFont val="Times New Roman CE"/>
        <family val="1"/>
      </rPr>
      <t>- dalszy etap wymiany okien, przebudowa kuchni, budowa zasieku</t>
    </r>
  </si>
  <si>
    <t>Wydatki na zakupy inwestycyjne jednostek budżetowych</t>
  </si>
  <si>
    <t>Zakup 4 komputerów dla SP Sokolniki Wielkie</t>
  </si>
  <si>
    <t>Dotacja dla placówki niepublicznej</t>
  </si>
  <si>
    <t>Dotacje dla przedszkoli niepublicznychzgodnie z Uchwałą Nr XVIII/119/04 Rady Gminy Kaźmierz z dn.05.03.2004r.</t>
  </si>
  <si>
    <t xml:space="preserve">Wynagrodzenia osobowe, w tym odprawy emerytalne </t>
  </si>
  <si>
    <t>Artykuły biurowe, środki czystości, wyposażenie</t>
  </si>
  <si>
    <t>Pomoce dydaktyczne, książki, wyposażenie kącików tematycznych</t>
  </si>
  <si>
    <r>
      <t>Energia</t>
    </r>
    <r>
      <rPr>
        <sz val="10"/>
        <rFont val="Times New Roman CE"/>
        <family val="1"/>
      </rPr>
      <t>, woda</t>
    </r>
    <r>
      <rPr>
        <sz val="10"/>
        <rFont val="Times New Roman CE"/>
        <family val="1"/>
      </rPr>
      <t>, gaz</t>
    </r>
  </si>
  <si>
    <t>Drobne remonty.</t>
  </si>
  <si>
    <r>
      <t xml:space="preserve">Opłaty RTV, opłaty za telefon, usługi komunalne, pralnie, </t>
    </r>
    <r>
      <rPr>
        <sz val="10"/>
        <rFont val="Times New Roman CE"/>
        <family val="1"/>
      </rPr>
      <t xml:space="preserve"> prowizje bankowe</t>
    </r>
  </si>
  <si>
    <t>Koszty delegacji nauczycieli</t>
  </si>
  <si>
    <t>Wynagrodzenia osobowe</t>
  </si>
  <si>
    <t xml:space="preserve">Materiały biurowe, środki czystości, wyposażenie </t>
  </si>
  <si>
    <t>Książki, pomoce dydaktyczne, programy komputerowe</t>
  </si>
  <si>
    <t>Opłaty RTV, opłaty za telefon, serwis sieci komputerowej</t>
  </si>
  <si>
    <t>Budowa gimnazjum z salą gimnastyczną w Kaźmierzu środki własne</t>
  </si>
  <si>
    <t>Budowa gimnazjum z salą gimnastyczną w Kaźmierzu ZPORR, budżet państwa</t>
  </si>
  <si>
    <t>Wynagrodzenia dla opiekunów dzieci w czasie dowożenia</t>
  </si>
  <si>
    <t>Usługa dowożenia dzieci do szkół</t>
  </si>
  <si>
    <t>Zespoły ekonomiczno-administracyjne szkół</t>
  </si>
  <si>
    <t>Świadczenia rzeczowe dotyczące Bhp</t>
  </si>
  <si>
    <t>Artykuły biurowe, książki i czasopisma fachowe, szafa biurowa, zakup drukarki</t>
  </si>
  <si>
    <t>Serwis sieci komputerowej</t>
  </si>
  <si>
    <t>Prowizje bankowe, doskonalenie zawodowe, pozostałe usługi, aktualizacje SIGID</t>
  </si>
  <si>
    <t>Koszty delegacji pracowników GZO</t>
  </si>
  <si>
    <t>Dokształcanie i doskonalenie nauczycieli</t>
  </si>
  <si>
    <t>1% planowanych rocznych środków na wynagrodzenia nauczycieli art.70a ustawy Karta Nauczyciela (jako podstawę przyjęto sumę §4010 w działach 80101, 80104, 80110 pomniejszone o wynagrodzenia obsługi)</t>
  </si>
  <si>
    <t>FŚS dla emerytowanych nauczycieli i pracowników oświaty (36 osób x 798,00)</t>
  </si>
  <si>
    <t>Ochrona zdrowia</t>
  </si>
  <si>
    <t>Przeciwdziałanie alkoholizmowi</t>
  </si>
  <si>
    <t>Działalność Gminnej Komisji Rozwiązywania Problemów Alkoholowych</t>
  </si>
  <si>
    <t>Wydatki na pomoc finansową udzielaną między jednostkami samorządu terytorialnego na dofinansowanie własnych zadań bieżących</t>
  </si>
  <si>
    <t xml:space="preserve">Pomoc finansowa Gminy Kaźmierz dla Szpitala Powiatowego w Szamotułach na zakup tomografu komputerowego </t>
  </si>
  <si>
    <t>Świadczenia społeczne</t>
  </si>
  <si>
    <t>Składka na ubezpieczenie zdrowotne</t>
  </si>
  <si>
    <t>dot.WUW w 100%</t>
  </si>
  <si>
    <r>
      <t xml:space="preserve">zadania zlecone WUW P-ń </t>
    </r>
    <r>
      <rPr>
        <b/>
        <sz val="10"/>
        <rFont val="Times New Roman CE"/>
        <family val="1"/>
      </rPr>
      <t>60.100,00</t>
    </r>
    <r>
      <rPr>
        <sz val="10"/>
        <rFont val="Times New Roman CE"/>
        <family val="1"/>
      </rPr>
      <t xml:space="preserve">, zad.własne UG </t>
    </r>
    <r>
      <rPr>
        <b/>
        <sz val="10"/>
        <rFont val="Times New Roman CE"/>
        <family val="1"/>
      </rPr>
      <t>205.000,00</t>
    </r>
  </si>
  <si>
    <t>Składka na ubezpieczenia społeczne</t>
  </si>
  <si>
    <t>WUW w 100%</t>
  </si>
  <si>
    <t>Dodatki mieszkaniowe</t>
  </si>
  <si>
    <t>Podstawa naliczenia dodatków: ustawa o dodatkach mieszkaniowych z dnia 21.06.2001r (Dz.U.Nr 71, poz.734) i Rozp.RM z dnia 28.12.2001 (Dz.U.Nr 156, poz.1817)</t>
  </si>
  <si>
    <r>
      <t xml:space="preserve">WUW </t>
    </r>
    <r>
      <rPr>
        <b/>
        <sz val="10"/>
        <rFont val="Times New Roman CE"/>
        <family val="1"/>
      </rPr>
      <t>64.300,00</t>
    </r>
    <r>
      <rPr>
        <sz val="10"/>
        <rFont val="Times New Roman CE"/>
        <family val="1"/>
      </rPr>
      <t xml:space="preserve">, UG </t>
    </r>
    <r>
      <rPr>
        <b/>
        <sz val="10"/>
        <rFont val="Times New Roman CE"/>
        <family val="1"/>
      </rPr>
      <t>307.800,00</t>
    </r>
  </si>
  <si>
    <t>Środki Bhp dla 7 pracowników, ekwiwalent za pranie</t>
  </si>
  <si>
    <t>Składka na Fundusz Pracy</t>
  </si>
  <si>
    <t>Wynagrodzenia bezosobowe</t>
  </si>
  <si>
    <t>Radca prawny, informatyk - umowy zlecenie</t>
  </si>
  <si>
    <t>Artykuły biurowe, czasopisma fachowe, środki bieżącego urtrzymania ośrodka</t>
  </si>
  <si>
    <t>Energia, woda, CO</t>
  </si>
  <si>
    <t>Naprawa i konserwacja sprzętu</t>
  </si>
  <si>
    <t>Opłaty pocztowe, telefoniczne, czynsz lokalowy, koszty i prowizje bankowe, dokształcanie pracowników.</t>
  </si>
  <si>
    <t>Delegacje pracowników i ryczałty samochodowe</t>
  </si>
  <si>
    <t>Ubezpieczenie sprzętu elektronicznego</t>
  </si>
  <si>
    <t>Usługi opiekuńcze i specjalistyczne usługi opiekuńcze</t>
  </si>
  <si>
    <t xml:space="preserve">UG 100%, </t>
  </si>
  <si>
    <t>1,5 etatu x 1.000,00 zł</t>
  </si>
  <si>
    <t>Dożywianie uczniów w szkołach</t>
  </si>
  <si>
    <t>Oświetlenie ulic, placów i dróg</t>
  </si>
  <si>
    <t>Zakup żarówek, opraw oświetleniowych, czujników</t>
  </si>
  <si>
    <t>Energia na oświetlenie uliczne</t>
  </si>
  <si>
    <t>Konserwacja oświetlenia ulicznego</t>
  </si>
  <si>
    <t>Bieżąca obsługa oświetlenia ulicznego, wykonanie projektów oświetlenia na terenie gminy ( deptak rej.ul.Szamotulskiej i rej.ul.Nowowiejskiej, krzyżówka w Witkowicach przy trasie A2)</t>
  </si>
  <si>
    <t>Oświetlenie płyty Rynku + oświetlenie sołectw</t>
  </si>
  <si>
    <t>Wynagrodzenie bezosobowe</t>
  </si>
  <si>
    <t xml:space="preserve">Umowa zlecenie z pracownikiem obsługującym toalety publiczne </t>
  </si>
  <si>
    <t>Zakup pojemników do selektywnej zbiórki odpadów, utrzymanie bezpańskich psów, materiałów bieżącego utrzymania toalet publicznych</t>
  </si>
  <si>
    <t>Inne usługi związane z utrzymaniem toalet publicznych</t>
  </si>
  <si>
    <t>Gaz i energia w toaletach</t>
  </si>
  <si>
    <t>Budowa sieci gazowej w Młodasku</t>
  </si>
  <si>
    <t>Kultura i ochrona dziedzictwa narodowego</t>
  </si>
  <si>
    <t>Domy i ośrodki kultury, świetlice i kluby</t>
  </si>
  <si>
    <t>Dotacja podmiotowa z budżetu dla samorządowej instytucji kultury</t>
  </si>
  <si>
    <t>Dotacja dla Gminnego Ośrodka Kultury w Kaźmierzu</t>
  </si>
  <si>
    <t>Biblioteki</t>
  </si>
  <si>
    <t>Dotacja dla Biblioteki Publicznej Gminy Kaźmierz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</si>
  <si>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</si>
  <si>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</si>
  <si>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</si>
  <si>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Wsparcie finansowe na realizację zadań w zakresie kultury fizycznej i sportu (art.5 ust 4.pkt.2 ustawy z dn.24.04.2003r o działalności pożytku publicznego i o wolontariacie)</t>
  </si>
  <si>
    <t>Środki na pozostałą działalność sportową prowadzoną na terenie gminy</t>
  </si>
  <si>
    <t xml:space="preserve">Sędziowie turniejów sportowych </t>
  </si>
  <si>
    <t>Gospodarz obiektu sportowego w K-rzu i Bytyniu, obsługa strzelnicy LOK - umowy zlecenie</t>
  </si>
  <si>
    <t xml:space="preserve">Zakup broni sportowej, śrutu i tarcz, zakup materiałów bieżącego utrzymania oraz materiałów na organizację imprez plenerowo-sportowych, zakup sprzętu sportowego , zakup trawy, nawozów </t>
  </si>
  <si>
    <t>Energia i woda w obiektach sportowo-rekreacyjnych</t>
  </si>
  <si>
    <t>Monitorowanie obiektu , utrzymanie płyty boiska w Kaźmierzu, usługi komunalne, pozostałe usługi</t>
  </si>
  <si>
    <t>Ubezpieczenia gminnych obiektów sportowych i imprez masowych</t>
  </si>
  <si>
    <t>Zał.Nr 3 do Uchwały nr  XXVIII/184/04  Rady  Gminy Kaźmierz z dn.20.12.2004r.</t>
  </si>
  <si>
    <t>DOCHODY I WYDATKI NA ZADANIA ZLECONE GMINOM</t>
  </si>
  <si>
    <t>NA 2005r.</t>
  </si>
  <si>
    <t>DOCHODY</t>
  </si>
  <si>
    <t>WYDATKI</t>
  </si>
  <si>
    <t>Składki na ubezpieczenie zdrowotne opłacane za osoby pobierające niektóre świadczenia z pomocy społecznej</t>
  </si>
  <si>
    <t>Zał.Nr 4 do Uchwały nr XXVIII/184/04 Rady Gminy Kaźmierz z dn.20.12.2004r.</t>
  </si>
  <si>
    <t>PRZYCHODY I ROZCHODY 2005r.</t>
  </si>
  <si>
    <t>Wyszczególnienie</t>
  </si>
  <si>
    <t>Plan przychodów</t>
  </si>
  <si>
    <t>Plan rozchodów</t>
  </si>
  <si>
    <t>Nadwyżka z lat ubiegłych</t>
  </si>
  <si>
    <t>Przychodyz zaciągniętych pożyczek i kredytów na rynku krajowym</t>
  </si>
  <si>
    <t>Spłaty otrzymanych krajowych pożyczek i kredytów</t>
  </si>
  <si>
    <t>Zał.Nr 5 do Uchwały nr XXVIII/184/04 Rady Gminy Kaźmierz z dn.20.12.2004r.</t>
  </si>
  <si>
    <t xml:space="preserve">DOCHODY ZWIĄZANE Z REALIZACJĄ ZADAŃ Z ZAKRESU </t>
  </si>
  <si>
    <t>ADMINISTRACJI RZĄDOWEJ ORAZ INNYCH ZADAŃ ZLECONYCH</t>
  </si>
  <si>
    <t xml:space="preserve"> JEDNOSTCE SAMORZĄDU TERYTORIALNEGO USTAWAMI</t>
  </si>
  <si>
    <t>Dz.      750</t>
  </si>
  <si>
    <t>Rozdz.75011</t>
  </si>
  <si>
    <t>§         235</t>
  </si>
  <si>
    <t xml:space="preserve">Powyższe środki pobrane przez jednostkę samorządu terytorialnego odprowadza się na rachunek </t>
  </si>
  <si>
    <t>budżetu państwa, zgodnie z art.129 ust.2 Ustawy z dnia 26 listopada 1998r  o finansach publicznych</t>
  </si>
  <si>
    <t>( Dz.U. z 2003r.Nr 15 poz.148, Nr 45, poz.391, Nr 65, poz.594, Nr 166, poz.161, Nr 189, poz.1851)</t>
  </si>
  <si>
    <t>Zał.Nr 6 do Uchwały nr XXVIII/184/04 Rady Gminy Kaźmierz z dn.20.12.2004r.</t>
  </si>
  <si>
    <t>PRZYCHODY I WYDATKI GMINNEGO FUNDUSZU OCHRONY ŚRODOWISKA I GOSPODARKI WODNEJ .</t>
  </si>
  <si>
    <t>Plan przychodów/wydatków w 2005r.</t>
  </si>
  <si>
    <t>PRZYCHODY</t>
  </si>
  <si>
    <t>Stan konta bankowego na 01.01.2005r.</t>
  </si>
  <si>
    <t>Wpływy na rzecz funduszu pochodzące z opłat za gospodarcze korzystanie ze środowiska przez podmioty gospodarcze z terenu gminy</t>
  </si>
  <si>
    <t>Kapitalizacja odsetek bankowych</t>
  </si>
  <si>
    <t>Wydatki związane z: akcją Sprzątanie Świata, realizacją Gminnego Programu Ochrony Środowiska i Planu Gospodarki Odpadami, ochroną kasztanowców, obchodami Dnia Ziemi, pozostałymi wydatkami związanymi z ochroną środowiska na terenie gminy</t>
  </si>
  <si>
    <t>Zał.Nr 7 do Uchwały nr XXVIII/184/04 Rady Gminy Kaźmierz z dn.20.12.2004r.</t>
  </si>
  <si>
    <t>PLAN PRZYCHODÓW I WYDATKÓW ZAKŁADU USŁUG  KOMUNALNYCH W KAŹMIERZU</t>
  </si>
  <si>
    <t>Dział</t>
  </si>
  <si>
    <t>Nazwa</t>
  </si>
  <si>
    <t xml:space="preserve">Przychody </t>
  </si>
  <si>
    <t>Wydatki</t>
  </si>
  <si>
    <t xml:space="preserve">w tym dotacja </t>
  </si>
  <si>
    <t>Gospodarka komunalna i ochrona srodowiska</t>
  </si>
  <si>
    <t>Plan wydatków na wieloletnie programy inwestycyjne</t>
  </si>
  <si>
    <t>Zał.Nr 8 do Uchwały nr XXVIII/184/04 Rady Gminy Kaźmierz z dn.20.12.2004r.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</si>
  <si>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</si>
  <si>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</si>
  <si>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</si>
  <si>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</si>
  <si>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</si>
  <si>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</si>
  <si>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</si>
  <si>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</si>
  <si>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</si>
  <si>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</si>
  <si>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</si>
  <si>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</si>
  <si>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Budowa gimnazjum wraz z salą gimnastyczną w Kaźmierzu</t>
  </si>
  <si>
    <t>Gmina Kaźmierz</t>
  </si>
  <si>
    <t>2004-2006</t>
  </si>
  <si>
    <t>Modernizacja SUW  
w Gaju Wielkim</t>
  </si>
  <si>
    <t>2005-2007</t>
  </si>
  <si>
    <t>Sieć wodociągowa Gaj Wielki-Młodasko-Bytyń - przesyłowa</t>
  </si>
  <si>
    <t xml:space="preserve">Sieć wodociągowa Kaźmierz ul.Polna-Reja </t>
  </si>
  <si>
    <t>2004-2009</t>
  </si>
  <si>
    <t>Sieć wodociągowa Kaźmierz ul.Szkolna</t>
  </si>
  <si>
    <t>2004-2010</t>
  </si>
  <si>
    <t>Sieć wodociągowa Młodasko</t>
  </si>
  <si>
    <t>2004-2007</t>
  </si>
  <si>
    <t>Sieć wodociągowa Radzyny</t>
  </si>
  <si>
    <t>2004-2008</t>
  </si>
  <si>
    <t>Przebudowa Płyty Rynku w Kaźmierzu</t>
  </si>
  <si>
    <t>2004-2012</t>
  </si>
  <si>
    <t>Sieć kanalizacji sanitarnej układ Kaźmierz - Kiączyn</t>
  </si>
  <si>
    <t>2007-2011</t>
  </si>
  <si>
    <t>Sieć kanalizacji deszczowej w aglomeracji Kaźmierz</t>
  </si>
  <si>
    <t>2006-2013</t>
  </si>
  <si>
    <t xml:space="preserve">Budowa ścieżek rowerowych do Radzyn, Chlewisk </t>
  </si>
  <si>
    <t>2006-2010</t>
  </si>
  <si>
    <t>Gazyfikacja gminy</t>
  </si>
  <si>
    <t>2005-2013</t>
  </si>
  <si>
    <t xml:space="preserve">Budowa dróg dojazdowych do gruntów rolnych </t>
  </si>
  <si>
    <t>2006-2009</t>
  </si>
  <si>
    <t>Oświetlenie dróg osiedlowych na terenie gminy Kaźmierz</t>
  </si>
  <si>
    <t>2004-2013</t>
  </si>
  <si>
    <t>Program edukacyjny</t>
  </si>
  <si>
    <t>2006-2011</t>
  </si>
  <si>
    <t>Prognoza długu Gminy Kaźmierz na lata 2005 - 2015</t>
  </si>
  <si>
    <t>1. Zadłużenie gminy Kaźmierz na 31.12.2004r.</t>
  </si>
  <si>
    <t>2. Planowane w budżecie przychody z tyt.kredytów i pożyczek</t>
  </si>
  <si>
    <t>3. Kwota przewidziana w budżecie na spłatę zadłużeń:</t>
  </si>
  <si>
    <t>a</t>
  </si>
  <si>
    <t>- raty kapitałowe</t>
  </si>
  <si>
    <t>b</t>
  </si>
  <si>
    <t>- odsetki</t>
  </si>
  <si>
    <t>4. Prognozowana kwota długu na dzień 31.12.2005r. (poz.1+2-3a)</t>
  </si>
  <si>
    <t>5. Planowane dochody budżetu gminy na 2005r.</t>
  </si>
  <si>
    <t>6. Łączna kwota do spłaty rat kredytów i pożyczek wraz z odsetkami w</t>
  </si>
  <si>
    <t xml:space="preserve">    stosunku doplanowanych dochodów gminy na 2005r. (poz.3/poz.5)</t>
  </si>
  <si>
    <t>7. Stosunek łącznej kwoty długu na koniec roku budżetowego do dochodów</t>
  </si>
  <si>
    <t xml:space="preserve">    gminy (poz.4/poz.5) w tym roku budżetowym wynosić będzie</t>
  </si>
  <si>
    <t>Prognoza na rok 2006</t>
  </si>
  <si>
    <t>1. Zadłużenie gminy Kaźmierz na początek roku budżetowego</t>
  </si>
  <si>
    <t>4. Prognozowana kwota długu na dzień 31.12.2006r. (poz.1+2-3a)</t>
  </si>
  <si>
    <t>5. Planowane dochody budżetu gminy na 2006r.</t>
  </si>
  <si>
    <t xml:space="preserve">    stosunku doplanowanych dochodów gminy na 2006r. (poz.3/poz.5)</t>
  </si>
  <si>
    <t>Prognoza na rok 2007</t>
  </si>
  <si>
    <t>4. Prognozowana kwota długu na dzień 31.12.2007r. (poz.1+2-3a)</t>
  </si>
  <si>
    <t>5. Planowane dochody budżetu gminy na 2007r.</t>
  </si>
  <si>
    <t xml:space="preserve">    stosunku doplanowanych dochodów gminy na 2007r. (poz.3/poz.5)</t>
  </si>
  <si>
    <t>Prognoza na rok 2008</t>
  </si>
  <si>
    <t>4. Prognozowana kwota długu na dzień 31.12.2008r. (poz.1+2-3a)</t>
  </si>
  <si>
    <t>5. Planowane dochody budżetu gminy na 2008r.</t>
  </si>
  <si>
    <t xml:space="preserve">    stosunku doplanowanych dochodów gminy na 2008r. (poz.3/poz.5)</t>
  </si>
  <si>
    <t>Prognoza na rok 2009</t>
  </si>
  <si>
    <t>4. Prognozowana kwota długu na dzień 31.12.2009r. (poz.1+2-3a)</t>
  </si>
  <si>
    <t>5. Planowane dochody budżetu gminy na 2009r.</t>
  </si>
  <si>
    <t xml:space="preserve">    stosunku doplanowanych dochodów gminy na 2009r. (poz.3/poz.5)</t>
  </si>
  <si>
    <t>Prognoza na rok 2010</t>
  </si>
  <si>
    <t>4. Prognozowana kwota długu na dzień 31.12.2010r. (poz.1+2-3a)</t>
  </si>
  <si>
    <t>5. Planowane dochody budżetu gminy na 2010r.</t>
  </si>
  <si>
    <t xml:space="preserve">    stosunku doplanowanych dochodów gminy na 2010r. (poz.3/poz.5)</t>
  </si>
  <si>
    <t>Prognoza na rok 2011</t>
  </si>
  <si>
    <t>4. Prognozowana kwota długu na dzień 31.12.2011r. (poz.1+2-3a)</t>
  </si>
  <si>
    <t>5. Planowane dochody budżetu gminy na 2011r.</t>
  </si>
  <si>
    <t xml:space="preserve">    stosunku doplanowanych dochodów gminy na 2011r. (poz.3/poz.5)</t>
  </si>
  <si>
    <t>Prognoza na rok 2012</t>
  </si>
  <si>
    <t>4. Prognozowana kwota długu na dzień 31.12.2012r. (poz.1+2-3a)</t>
  </si>
  <si>
    <t>5. Planowane dochody budżetu gminy na 2012r.</t>
  </si>
  <si>
    <t xml:space="preserve">    stosunku doplanowanych dochodów gminy na 2012r. (poz.3/poz.5)</t>
  </si>
  <si>
    <t>Prognoza na rok 2013</t>
  </si>
  <si>
    <t>4. Prognozowana kwota długu na dzień 31.12.2013r. (poz.1+2-3a)</t>
  </si>
  <si>
    <t>5. Planowane dochody budżetu gminy na 2013r.</t>
  </si>
  <si>
    <t xml:space="preserve">    stosunku doplanowanych dochodów gminy na 2013r. (poz.3/poz.5)</t>
  </si>
  <si>
    <t>Prognoza na rok 2014</t>
  </si>
  <si>
    <t>4. Prognozowana kwota długu na dzień 31.12.2014r. (poz.1+2-3a)</t>
  </si>
  <si>
    <t>5. Planowane dochody budżetu gminy na 2014r.</t>
  </si>
  <si>
    <t xml:space="preserve">    stosunku doplanowanych dochodów gminy na 2014r. (poz.3/poz.5)</t>
  </si>
  <si>
    <t>Prognoza na rok 2015</t>
  </si>
  <si>
    <t>4. Prognozowana kwota długu na dzień 31.12.2015r. (poz.1+2-3a)</t>
  </si>
  <si>
    <t>5. Planowane dochody budżetu gminy na 2015r.</t>
  </si>
  <si>
    <t xml:space="preserve">    stosunku doplanowanych dochodów gminy na 2015r. (poz.3/poz.5)</t>
  </si>
  <si>
    <t xml:space="preserve">Gmina Kaźmierz nie wyemitowała papierów wartościowych, nie udzielała gwarancji i poręczeń, </t>
  </si>
  <si>
    <t>nie  przyjęła depozytów oraz informuje, iż nie posiada innych wymagalnych zobowiązań.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</si>
</sst>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sz val="12"/>
      <color indexed="10"/>
      <name val="Times New Roman CE"/>
      <family val="1"/>
    </font>
    <font>
      <b/>
      <sz val="11"/>
      <name val="Times New Roman CE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sz val="16"/>
      <color indexed="48"/>
      <name val="Times New Roman CE"/>
      <family val="1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4"/>
      <color indexed="12"/>
      <name val="Times New Roman CE"/>
      <family val="1"/>
    </font>
    <font>
      <b/>
      <sz val="8"/>
      <name val="Arial"/>
      <family val="2"/>
    </font>
    <font>
      <sz val="10"/>
      <color indexed="10"/>
      <name val="Arial CE"/>
      <family val="0"/>
    </font>
    <font>
      <sz val="8"/>
      <name val="Arial"/>
      <family val="2"/>
    </font>
    <font>
      <b/>
      <sz val="14"/>
      <color indexed="10"/>
      <name val="Arial CE"/>
      <family val="0"/>
    </font>
    <font>
      <sz val="11"/>
      <name val="Times New Roman CE"/>
      <family val="1"/>
    </font>
    <font>
      <sz val="8"/>
      <name val="Times New Roman CE"/>
      <family val="1"/>
    </font>
    <font>
      <sz val="11"/>
      <color indexed="12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 quotePrefix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 quotePrefix="1">
      <alignment horizontal="right" vertical="center" wrapText="1"/>
    </xf>
    <xf numFmtId="0" fontId="7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0" fontId="1" fillId="6" borderId="7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4" fontId="1" fillId="6" borderId="3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4" fontId="2" fillId="6" borderId="8" xfId="0" applyNumberFormat="1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0" fillId="0" borderId="8" xfId="0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2" fillId="0" borderId="1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left" vertical="center" wrapText="1"/>
    </xf>
    <xf numFmtId="4" fontId="1" fillId="7" borderId="16" xfId="0" applyNumberFormat="1" applyFont="1" applyFill="1" applyBorder="1" applyAlignment="1">
      <alignment horizontal="center" vertical="center" wrapText="1"/>
    </xf>
    <xf numFmtId="4" fontId="4" fillId="7" borderId="17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1" fillId="3" borderId="24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13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 quotePrefix="1">
      <alignment horizontal="center"/>
    </xf>
    <xf numFmtId="4" fontId="2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4" fontId="2" fillId="3" borderId="3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4" fontId="1" fillId="3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Border="1" applyAlignment="1" quotePrefix="1">
      <alignment horizontal="center" vertical="center" wrapText="1"/>
    </xf>
    <xf numFmtId="4" fontId="1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0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2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1" fillId="0" borderId="2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4" fontId="2" fillId="9" borderId="3" xfId="0" applyNumberFormat="1" applyFont="1" applyFill="1" applyBorder="1" applyAlignment="1">
      <alignment vertical="center" wrapText="1"/>
    </xf>
    <xf numFmtId="4" fontId="2" fillId="8" borderId="3" xfId="0" applyNumberFormat="1" applyFont="1" applyFill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2" fillId="9" borderId="3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vertical="top" wrapText="1"/>
    </xf>
    <xf numFmtId="4" fontId="1" fillId="7" borderId="31" xfId="0" applyNumberFormat="1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4" fontId="5" fillId="7" borderId="31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38" xfId="0" applyNumberFormat="1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center" vertical="center" wrapText="1"/>
    </xf>
    <xf numFmtId="4" fontId="1" fillId="6" borderId="11" xfId="0" applyNumberFormat="1" applyFont="1" applyFill="1" applyBorder="1" applyAlignment="1">
      <alignment horizontal="center" vertical="center" wrapText="1"/>
    </xf>
    <xf numFmtId="4" fontId="1" fillId="6" borderId="2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4" fontId="2" fillId="0" borderId="27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42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 quotePrefix="1">
      <alignment horizontal="right"/>
    </xf>
    <xf numFmtId="4" fontId="12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/>
    </xf>
    <xf numFmtId="10" fontId="25" fillId="0" borderId="0" xfId="0" applyNumberFormat="1" applyFont="1" applyAlignment="1">
      <alignment/>
    </xf>
    <xf numFmtId="4" fontId="2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F1" sqref="F1"/>
    </sheetView>
  </sheetViews>
  <sheetFormatPr defaultColWidth="9.140625" defaultRowHeight="12.75"/>
  <cols>
    <col min="1" max="1" width="5.00390625" style="3" customWidth="1"/>
    <col min="2" max="2" width="6.7109375" style="3" customWidth="1"/>
    <col min="3" max="3" width="4.421875" style="3" bestFit="1" customWidth="1"/>
    <col min="4" max="4" width="49.140625" style="3" customWidth="1"/>
    <col min="5" max="5" width="25.57421875" style="8" customWidth="1"/>
    <col min="6" max="6" width="42.28125" style="3" customWidth="1"/>
    <col min="7" max="7" width="11.28125" style="3" customWidth="1"/>
    <col min="8" max="16384" width="9.140625" style="3" customWidth="1"/>
  </cols>
  <sheetData>
    <row r="1" spans="1:6" ht="25.5">
      <c r="A1" s="1" t="s">
        <v>0</v>
      </c>
      <c r="B1" s="2"/>
      <c r="C1" s="2"/>
      <c r="E1" s="4"/>
      <c r="F1" s="5" t="s">
        <v>1</v>
      </c>
    </row>
    <row r="2" spans="1:3" ht="13.5" thickBot="1">
      <c r="A2" s="7"/>
      <c r="B2" s="2"/>
      <c r="C2" s="2"/>
    </row>
    <row r="3" spans="1:6" s="10" customFormat="1" ht="47.25" customHeight="1">
      <c r="A3" s="279" t="s">
        <v>2</v>
      </c>
      <c r="B3" s="279" t="s">
        <v>3</v>
      </c>
      <c r="C3" s="279" t="s">
        <v>4</v>
      </c>
      <c r="D3" s="279" t="s">
        <v>5</v>
      </c>
      <c r="E3" s="279" t="s">
        <v>6</v>
      </c>
      <c r="F3" s="279"/>
    </row>
    <row r="4" spans="1:6" s="11" customFormat="1" ht="16.5" thickBot="1">
      <c r="A4" s="280"/>
      <c r="B4" s="280"/>
      <c r="C4" s="280"/>
      <c r="D4" s="280"/>
      <c r="E4" s="280"/>
      <c r="F4" s="280"/>
    </row>
    <row r="5" spans="1:6" s="6" customFormat="1" ht="12.75">
      <c r="A5" s="12"/>
      <c r="B5" s="12"/>
      <c r="C5" s="12"/>
      <c r="D5" s="12"/>
      <c r="E5" s="12"/>
      <c r="F5" s="13"/>
    </row>
    <row r="6" spans="1:6" s="20" customFormat="1" ht="12.75">
      <c r="A6" s="15" t="s">
        <v>20</v>
      </c>
      <c r="B6" s="16"/>
      <c r="C6" s="16"/>
      <c r="D6" s="17" t="s">
        <v>21</v>
      </c>
      <c r="E6" s="18">
        <f>SUM(E7)</f>
        <v>3800</v>
      </c>
      <c r="F6" s="19"/>
    </row>
    <row r="7" spans="1:6" s="20" customFormat="1" ht="12.75">
      <c r="A7" s="21"/>
      <c r="B7" s="22" t="s">
        <v>22</v>
      </c>
      <c r="C7" s="21"/>
      <c r="D7" s="23" t="s">
        <v>23</v>
      </c>
      <c r="E7" s="24">
        <f>SUM(E8)</f>
        <v>3800</v>
      </c>
      <c r="F7" s="25"/>
    </row>
    <row r="8" spans="1:6" s="20" customFormat="1" ht="51">
      <c r="A8" s="21"/>
      <c r="B8" s="28"/>
      <c r="C8" s="29" t="s">
        <v>24</v>
      </c>
      <c r="D8" s="30" t="s">
        <v>25</v>
      </c>
      <c r="E8" s="31">
        <v>3800</v>
      </c>
      <c r="F8" s="32" t="s">
        <v>26</v>
      </c>
    </row>
    <row r="9" spans="1:6" s="20" customFormat="1" ht="25.5">
      <c r="A9" s="15">
        <v>400</v>
      </c>
      <c r="B9" s="35"/>
      <c r="C9" s="35"/>
      <c r="D9" s="17" t="s">
        <v>27</v>
      </c>
      <c r="E9" s="18">
        <f>E10</f>
        <v>37600</v>
      </c>
      <c r="F9" s="19"/>
    </row>
    <row r="10" spans="1:6" s="20" customFormat="1" ht="12.75">
      <c r="A10" s="21"/>
      <c r="B10" s="22">
        <v>40002</v>
      </c>
      <c r="C10" s="21"/>
      <c r="D10" s="23" t="s">
        <v>28</v>
      </c>
      <c r="E10" s="24">
        <f>E11</f>
        <v>37600</v>
      </c>
      <c r="F10" s="25"/>
    </row>
    <row r="11" spans="1:6" s="20" customFormat="1" ht="38.25">
      <c r="A11" s="21"/>
      <c r="B11" s="28"/>
      <c r="C11" s="29" t="s">
        <v>29</v>
      </c>
      <c r="D11" s="30" t="s">
        <v>30</v>
      </c>
      <c r="E11" s="31">
        <f>17600+20000</f>
        <v>37600</v>
      </c>
      <c r="F11" s="32" t="s">
        <v>31</v>
      </c>
    </row>
    <row r="12" spans="1:6" s="20" customFormat="1" ht="12.75" hidden="1">
      <c r="A12" s="36">
        <v>600</v>
      </c>
      <c r="B12" s="36"/>
      <c r="C12" s="36"/>
      <c r="D12" s="37" t="s">
        <v>32</v>
      </c>
      <c r="E12" s="18">
        <f>E13</f>
        <v>0</v>
      </c>
      <c r="F12" s="19"/>
    </row>
    <row r="13" spans="1:6" s="20" customFormat="1" ht="12.75" hidden="1">
      <c r="A13" s="38"/>
      <c r="B13" s="38">
        <v>60016</v>
      </c>
      <c r="C13" s="38"/>
      <c r="D13" s="39" t="s">
        <v>33</v>
      </c>
      <c r="E13" s="24">
        <f>E14</f>
        <v>0</v>
      </c>
      <c r="F13" s="25"/>
    </row>
    <row r="14" spans="1:6" s="20" customFormat="1" ht="38.25" hidden="1">
      <c r="A14" s="38"/>
      <c r="B14" s="38"/>
      <c r="C14" s="40">
        <v>6260</v>
      </c>
      <c r="D14" s="41" t="s">
        <v>34</v>
      </c>
      <c r="E14" s="31"/>
      <c r="F14" s="32" t="s">
        <v>35</v>
      </c>
    </row>
    <row r="15" spans="1:6" s="20" customFormat="1" ht="12.75">
      <c r="A15" s="35">
        <v>700</v>
      </c>
      <c r="B15" s="35"/>
      <c r="C15" s="35"/>
      <c r="D15" s="17" t="s">
        <v>36</v>
      </c>
      <c r="E15" s="18">
        <f>E16</f>
        <v>317927</v>
      </c>
      <c r="F15" s="19"/>
    </row>
    <row r="16" spans="1:6" s="20" customFormat="1" ht="12.75">
      <c r="A16" s="21"/>
      <c r="B16" s="21">
        <v>70005</v>
      </c>
      <c r="C16" s="21"/>
      <c r="D16" s="23" t="s">
        <v>37</v>
      </c>
      <c r="E16" s="42">
        <f>SUM(E17:E21)</f>
        <v>317927</v>
      </c>
      <c r="F16" s="27"/>
    </row>
    <row r="17" spans="1:6" s="20" customFormat="1" ht="25.5">
      <c r="A17" s="21"/>
      <c r="B17" s="28"/>
      <c r="C17" s="29" t="s">
        <v>38</v>
      </c>
      <c r="D17" s="30" t="s">
        <v>39</v>
      </c>
      <c r="E17" s="31">
        <v>26200</v>
      </c>
      <c r="F17" s="32" t="s">
        <v>40</v>
      </c>
    </row>
    <row r="18" spans="1:6" s="20" customFormat="1" ht="76.5" customHeight="1">
      <c r="A18" s="21"/>
      <c r="B18" s="28"/>
      <c r="C18" s="29" t="s">
        <v>24</v>
      </c>
      <c r="D18" s="30" t="s">
        <v>25</v>
      </c>
      <c r="E18" s="31">
        <f>14408+492+342+2788+36000+19150+100</f>
        <v>73280</v>
      </c>
      <c r="F18" s="32" t="s">
        <v>41</v>
      </c>
    </row>
    <row r="19" spans="1:6" s="20" customFormat="1" ht="25.5">
      <c r="A19" s="21"/>
      <c r="B19" s="28"/>
      <c r="C19" s="29" t="s">
        <v>42</v>
      </c>
      <c r="D19" s="30" t="s">
        <v>43</v>
      </c>
      <c r="E19" s="31">
        <f>12645+150000+50000</f>
        <v>212645</v>
      </c>
      <c r="F19" s="32" t="s">
        <v>44</v>
      </c>
    </row>
    <row r="20" spans="1:6" s="20" customFormat="1" ht="12.75">
      <c r="A20" s="21"/>
      <c r="B20" s="28"/>
      <c r="C20" s="29" t="s">
        <v>45</v>
      </c>
      <c r="D20" s="30" t="s">
        <v>46</v>
      </c>
      <c r="E20" s="31">
        <v>100</v>
      </c>
      <c r="F20" s="32"/>
    </row>
    <row r="21" spans="1:6" s="20" customFormat="1" ht="12.75">
      <c r="A21" s="21"/>
      <c r="B21" s="28"/>
      <c r="C21" s="29" t="s">
        <v>47</v>
      </c>
      <c r="D21" s="30" t="s">
        <v>48</v>
      </c>
      <c r="E21" s="31">
        <v>5702</v>
      </c>
      <c r="F21" s="32" t="s">
        <v>49</v>
      </c>
    </row>
    <row r="22" spans="1:6" s="20" customFormat="1" ht="12.75">
      <c r="A22" s="35">
        <v>750</v>
      </c>
      <c r="B22" s="35"/>
      <c r="C22" s="35"/>
      <c r="D22" s="17" t="s">
        <v>50</v>
      </c>
      <c r="E22" s="18">
        <f>E23+E26</f>
        <v>58900</v>
      </c>
      <c r="F22" s="19"/>
    </row>
    <row r="23" spans="1:6" s="20" customFormat="1" ht="12.75">
      <c r="A23" s="21"/>
      <c r="B23" s="21">
        <v>75011</v>
      </c>
      <c r="C23" s="21"/>
      <c r="D23" s="23" t="s">
        <v>51</v>
      </c>
      <c r="E23" s="24">
        <f>SUM(E24:E25)</f>
        <v>53900</v>
      </c>
      <c r="F23" s="25"/>
    </row>
    <row r="24" spans="1:6" s="20" customFormat="1" ht="38.25">
      <c r="A24" s="21"/>
      <c r="B24" s="28"/>
      <c r="C24" s="28">
        <v>2010</v>
      </c>
      <c r="D24" s="30" t="s">
        <v>52</v>
      </c>
      <c r="E24" s="31">
        <v>53000</v>
      </c>
      <c r="F24" s="32" t="s">
        <v>53</v>
      </c>
    </row>
    <row r="25" spans="1:6" s="20" customFormat="1" ht="51">
      <c r="A25" s="21"/>
      <c r="B25" s="28"/>
      <c r="C25" s="28">
        <v>2360</v>
      </c>
      <c r="D25" s="30" t="s">
        <v>54</v>
      </c>
      <c r="E25" s="31">
        <v>900</v>
      </c>
      <c r="F25" s="32" t="s">
        <v>55</v>
      </c>
    </row>
    <row r="26" spans="1:6" s="20" customFormat="1" ht="12.75">
      <c r="A26" s="21"/>
      <c r="B26" s="21">
        <v>75023</v>
      </c>
      <c r="C26" s="21"/>
      <c r="D26" s="23" t="s">
        <v>56</v>
      </c>
      <c r="E26" s="24">
        <f>SUM(E27:E27)</f>
        <v>5000</v>
      </c>
      <c r="F26" s="25"/>
    </row>
    <row r="27" spans="1:6" s="20" customFormat="1" ht="18.75" customHeight="1">
      <c r="A27" s="28"/>
      <c r="B27" s="28"/>
      <c r="C27" s="29" t="s">
        <v>57</v>
      </c>
      <c r="D27" s="30" t="s">
        <v>58</v>
      </c>
      <c r="E27" s="31">
        <v>5000</v>
      </c>
      <c r="F27" s="32" t="s">
        <v>59</v>
      </c>
    </row>
    <row r="28" spans="1:6" s="20" customFormat="1" ht="25.5">
      <c r="A28" s="35">
        <v>751</v>
      </c>
      <c r="B28" s="16"/>
      <c r="C28" s="16"/>
      <c r="D28" s="17" t="s">
        <v>60</v>
      </c>
      <c r="E28" s="18">
        <f>E29</f>
        <v>1053</v>
      </c>
      <c r="F28" s="19"/>
    </row>
    <row r="29" spans="1:6" s="45" customFormat="1" ht="25.5">
      <c r="A29" s="43"/>
      <c r="B29" s="43">
        <v>75101</v>
      </c>
      <c r="C29" s="43"/>
      <c r="D29" s="44" t="s">
        <v>61</v>
      </c>
      <c r="E29" s="42">
        <f>E30</f>
        <v>1053</v>
      </c>
      <c r="F29" s="27"/>
    </row>
    <row r="30" spans="1:6" s="45" customFormat="1" ht="51">
      <c r="A30" s="43"/>
      <c r="B30" s="46"/>
      <c r="C30" s="28">
        <v>2010</v>
      </c>
      <c r="D30" s="30" t="s">
        <v>52</v>
      </c>
      <c r="E30" s="47">
        <v>1053</v>
      </c>
      <c r="F30" s="34" t="s">
        <v>62</v>
      </c>
    </row>
    <row r="31" spans="1:6" s="20" customFormat="1" ht="12.75">
      <c r="A31" s="35">
        <v>754</v>
      </c>
      <c r="B31" s="35"/>
      <c r="C31" s="35"/>
      <c r="D31" s="17" t="s">
        <v>63</v>
      </c>
      <c r="E31" s="18">
        <f>E32</f>
        <v>400</v>
      </c>
      <c r="F31" s="19"/>
    </row>
    <row r="32" spans="1:6" s="20" customFormat="1" ht="12.75">
      <c r="A32" s="21"/>
      <c r="B32" s="21">
        <v>75414</v>
      </c>
      <c r="C32" s="21"/>
      <c r="D32" s="23" t="s">
        <v>64</v>
      </c>
      <c r="E32" s="24">
        <f>SUM(E33)</f>
        <v>400</v>
      </c>
      <c r="F32" s="25"/>
    </row>
    <row r="33" spans="1:6" s="20" customFormat="1" ht="38.25">
      <c r="A33" s="21"/>
      <c r="B33" s="28"/>
      <c r="C33" s="28">
        <v>2010</v>
      </c>
      <c r="D33" s="30" t="s">
        <v>52</v>
      </c>
      <c r="E33" s="31">
        <v>400</v>
      </c>
      <c r="F33" s="32" t="s">
        <v>53</v>
      </c>
    </row>
    <row r="34" spans="1:6" s="20" customFormat="1" ht="38.25">
      <c r="A34" s="35">
        <v>756</v>
      </c>
      <c r="B34" s="35"/>
      <c r="C34" s="35"/>
      <c r="D34" s="17" t="s">
        <v>65</v>
      </c>
      <c r="E34" s="18">
        <f>E35+E45+E56+E62+E38</f>
        <v>5874096</v>
      </c>
      <c r="F34" s="19"/>
    </row>
    <row r="35" spans="1:6" s="45" customFormat="1" ht="12.75">
      <c r="A35" s="43"/>
      <c r="B35" s="43">
        <v>75601</v>
      </c>
      <c r="C35" s="43"/>
      <c r="D35" s="44" t="s">
        <v>66</v>
      </c>
      <c r="E35" s="42">
        <f>E36+E37</f>
        <v>7100</v>
      </c>
      <c r="F35" s="27"/>
    </row>
    <row r="36" spans="1:6" s="20" customFormat="1" ht="25.5">
      <c r="A36" s="21"/>
      <c r="B36" s="28"/>
      <c r="C36" s="29" t="s">
        <v>67</v>
      </c>
      <c r="D36" s="30" t="s">
        <v>68</v>
      </c>
      <c r="E36" s="31">
        <v>7000</v>
      </c>
      <c r="F36" s="32"/>
    </row>
    <row r="37" spans="1:6" s="20" customFormat="1" ht="12.75">
      <c r="A37" s="21"/>
      <c r="B37" s="28"/>
      <c r="C37" s="29" t="s">
        <v>45</v>
      </c>
      <c r="D37" s="30" t="s">
        <v>46</v>
      </c>
      <c r="E37" s="31">
        <v>100</v>
      </c>
      <c r="F37" s="32"/>
    </row>
    <row r="38" spans="1:7" s="20" customFormat="1" ht="38.25">
      <c r="A38" s="21"/>
      <c r="B38" s="21">
        <v>75615</v>
      </c>
      <c r="C38" s="21"/>
      <c r="D38" s="23" t="s">
        <v>69</v>
      </c>
      <c r="E38" s="24">
        <f>SUM(E39:E44)</f>
        <v>2055571</v>
      </c>
      <c r="F38" s="32"/>
      <c r="G38" s="49" t="e">
        <f>#REF!-E38</f>
        <v>#REF!</v>
      </c>
    </row>
    <row r="39" spans="1:7" s="20" customFormat="1" ht="25.5">
      <c r="A39" s="21"/>
      <c r="B39" s="28"/>
      <c r="C39" s="29" t="s">
        <v>70</v>
      </c>
      <c r="D39" s="30" t="s">
        <v>71</v>
      </c>
      <c r="E39" s="31">
        <v>1605259</v>
      </c>
      <c r="F39" s="32" t="s">
        <v>72</v>
      </c>
      <c r="G39" s="49"/>
    </row>
    <row r="40" spans="1:7" s="20" customFormat="1" ht="12.75">
      <c r="A40" s="21"/>
      <c r="B40" s="28"/>
      <c r="C40" s="29" t="s">
        <v>73</v>
      </c>
      <c r="D40" s="30" t="s">
        <v>74</v>
      </c>
      <c r="E40" s="31">
        <v>401556</v>
      </c>
      <c r="F40" s="32" t="s">
        <v>75</v>
      </c>
      <c r="G40" s="49"/>
    </row>
    <row r="41" spans="1:7" s="20" customFormat="1" ht="12.75">
      <c r="A41" s="21"/>
      <c r="B41" s="28"/>
      <c r="C41" s="29" t="s">
        <v>76</v>
      </c>
      <c r="D41" s="30" t="s">
        <v>77</v>
      </c>
      <c r="E41" s="31">
        <v>27756</v>
      </c>
      <c r="F41" s="32" t="s">
        <v>78</v>
      </c>
      <c r="G41" s="49"/>
    </row>
    <row r="42" spans="1:6" s="20" customFormat="1" ht="25.5">
      <c r="A42" s="21"/>
      <c r="B42" s="28"/>
      <c r="C42" s="29" t="s">
        <v>79</v>
      </c>
      <c r="D42" s="30" t="s">
        <v>80</v>
      </c>
      <c r="E42" s="31">
        <v>10000</v>
      </c>
      <c r="F42" s="32" t="s">
        <v>81</v>
      </c>
    </row>
    <row r="43" spans="1:6" s="20" customFormat="1" ht="12.75">
      <c r="A43" s="21"/>
      <c r="B43" s="28"/>
      <c r="C43" s="29" t="s">
        <v>82</v>
      </c>
      <c r="D43" s="30" t="s">
        <v>83</v>
      </c>
      <c r="E43" s="31">
        <v>10000</v>
      </c>
      <c r="F43" s="32"/>
    </row>
    <row r="44" spans="1:6" s="20" customFormat="1" ht="12.75">
      <c r="A44" s="21"/>
      <c r="B44" s="28"/>
      <c r="C44" s="29" t="s">
        <v>45</v>
      </c>
      <c r="D44" s="30" t="s">
        <v>46</v>
      </c>
      <c r="E44" s="31">
        <v>1000</v>
      </c>
      <c r="F44" s="32"/>
    </row>
    <row r="45" spans="1:8" s="20" customFormat="1" ht="51">
      <c r="A45" s="21"/>
      <c r="B45" s="21">
        <v>75616</v>
      </c>
      <c r="C45" s="21"/>
      <c r="D45" s="23" t="s">
        <v>84</v>
      </c>
      <c r="E45" s="24">
        <f>SUM(E46:E55)</f>
        <v>1450270</v>
      </c>
      <c r="F45" s="25"/>
      <c r="G45" s="49" t="e">
        <f>#REF!-E45</f>
        <v>#REF!</v>
      </c>
      <c r="H45" s="49"/>
    </row>
    <row r="46" spans="1:7" s="20" customFormat="1" ht="25.5">
      <c r="A46" s="21"/>
      <c r="B46" s="21"/>
      <c r="C46" s="29" t="s">
        <v>70</v>
      </c>
      <c r="D46" s="30" t="s">
        <v>71</v>
      </c>
      <c r="E46" s="31">
        <v>707028</v>
      </c>
      <c r="F46" s="32" t="s">
        <v>72</v>
      </c>
      <c r="G46" s="49"/>
    </row>
    <row r="47" spans="1:7" s="20" customFormat="1" ht="20.25" customHeight="1">
      <c r="A47" s="21"/>
      <c r="B47" s="21"/>
      <c r="C47" s="29" t="s">
        <v>73</v>
      </c>
      <c r="D47" s="30" t="s">
        <v>74</v>
      </c>
      <c r="E47" s="31">
        <v>445756</v>
      </c>
      <c r="F47" s="32" t="s">
        <v>75</v>
      </c>
      <c r="G47" s="49"/>
    </row>
    <row r="48" spans="1:7" s="20" customFormat="1" ht="19.5" customHeight="1">
      <c r="A48" s="21"/>
      <c r="B48" s="21"/>
      <c r="C48" s="29" t="s">
        <v>76</v>
      </c>
      <c r="D48" s="30" t="s">
        <v>77</v>
      </c>
      <c r="E48" s="31">
        <v>986</v>
      </c>
      <c r="F48" s="32" t="s">
        <v>78</v>
      </c>
      <c r="G48" s="49"/>
    </row>
    <row r="49" spans="1:7" s="20" customFormat="1" ht="25.5">
      <c r="A49" s="21"/>
      <c r="B49" s="21"/>
      <c r="C49" s="29" t="s">
        <v>79</v>
      </c>
      <c r="D49" s="30" t="s">
        <v>80</v>
      </c>
      <c r="E49" s="31">
        <v>80000</v>
      </c>
      <c r="F49" s="32" t="s">
        <v>81</v>
      </c>
      <c r="G49" s="49"/>
    </row>
    <row r="50" spans="1:6" s="20" customFormat="1" ht="19.5" customHeight="1">
      <c r="A50" s="21"/>
      <c r="B50" s="28"/>
      <c r="C50" s="29" t="s">
        <v>85</v>
      </c>
      <c r="D50" s="30" t="s">
        <v>86</v>
      </c>
      <c r="E50" s="31">
        <v>500</v>
      </c>
      <c r="F50" s="32"/>
    </row>
    <row r="51" spans="1:6" s="20" customFormat="1" ht="25.5">
      <c r="A51" s="21"/>
      <c r="B51" s="28"/>
      <c r="C51" s="29" t="s">
        <v>87</v>
      </c>
      <c r="D51" s="30" t="s">
        <v>88</v>
      </c>
      <c r="E51" s="31">
        <v>10000</v>
      </c>
      <c r="F51" s="32" t="s">
        <v>89</v>
      </c>
    </row>
    <row r="52" spans="1:6" s="20" customFormat="1" ht="27.75" customHeight="1">
      <c r="A52" s="21"/>
      <c r="B52" s="28"/>
      <c r="C52" s="29" t="s">
        <v>90</v>
      </c>
      <c r="D52" s="30" t="s">
        <v>91</v>
      </c>
      <c r="E52" s="31">
        <v>30000</v>
      </c>
      <c r="F52" s="32" t="s">
        <v>92</v>
      </c>
    </row>
    <row r="53" spans="1:6" s="20" customFormat="1" ht="38.25">
      <c r="A53" s="28"/>
      <c r="B53" s="28"/>
      <c r="C53" s="29" t="s">
        <v>93</v>
      </c>
      <c r="D53" s="30" t="s">
        <v>94</v>
      </c>
      <c r="E53" s="31">
        <v>6000</v>
      </c>
      <c r="F53" s="32" t="s">
        <v>95</v>
      </c>
    </row>
    <row r="54" spans="1:6" s="20" customFormat="1" ht="12.75">
      <c r="A54" s="21"/>
      <c r="B54" s="28"/>
      <c r="C54" s="29" t="s">
        <v>82</v>
      </c>
      <c r="D54" s="30" t="s">
        <v>83</v>
      </c>
      <c r="E54" s="31">
        <v>150000</v>
      </c>
      <c r="F54" s="32"/>
    </row>
    <row r="55" spans="1:6" s="20" customFormat="1" ht="25.5">
      <c r="A55" s="21"/>
      <c r="B55" s="28"/>
      <c r="C55" s="29" t="s">
        <v>45</v>
      </c>
      <c r="D55" s="30" t="s">
        <v>46</v>
      </c>
      <c r="E55" s="31">
        <v>20000</v>
      </c>
      <c r="F55" s="32" t="s">
        <v>96</v>
      </c>
    </row>
    <row r="56" spans="1:6" s="20" customFormat="1" ht="25.5">
      <c r="A56" s="21"/>
      <c r="B56" s="21">
        <v>75618</v>
      </c>
      <c r="C56" s="21"/>
      <c r="D56" s="23" t="s">
        <v>97</v>
      </c>
      <c r="E56" s="24">
        <f>SUM(E57:E61)</f>
        <v>275100</v>
      </c>
      <c r="F56" s="25"/>
    </row>
    <row r="57" spans="1:6" s="20" customFormat="1" ht="18.75" customHeight="1">
      <c r="A57" s="21"/>
      <c r="B57" s="21"/>
      <c r="C57" s="29" t="s">
        <v>98</v>
      </c>
      <c r="D57" s="30" t="s">
        <v>99</v>
      </c>
      <c r="E57" s="31">
        <v>40000</v>
      </c>
      <c r="F57" s="32"/>
    </row>
    <row r="58" spans="1:6" s="20" customFormat="1" ht="24.75" customHeight="1">
      <c r="A58" s="21"/>
      <c r="B58" s="21"/>
      <c r="C58" s="29" t="s">
        <v>100</v>
      </c>
      <c r="D58" s="30" t="s">
        <v>101</v>
      </c>
      <c r="E58" s="31">
        <f>10000+5000</f>
        <v>15000</v>
      </c>
      <c r="F58" s="32"/>
    </row>
    <row r="59" spans="1:6" s="20" customFormat="1" ht="26.25" customHeight="1">
      <c r="A59" s="21"/>
      <c r="B59" s="21"/>
      <c r="C59" s="29" t="s">
        <v>102</v>
      </c>
      <c r="D59" s="30" t="s">
        <v>103</v>
      </c>
      <c r="E59" s="31">
        <v>70000</v>
      </c>
      <c r="F59" s="32"/>
    </row>
    <row r="60" spans="1:6" s="20" customFormat="1" ht="26.25" customHeight="1">
      <c r="A60" s="21"/>
      <c r="B60" s="21"/>
      <c r="C60" s="29" t="s">
        <v>29</v>
      </c>
      <c r="D60" s="30" t="s">
        <v>30</v>
      </c>
      <c r="E60" s="31">
        <f>45000+105000</f>
        <v>150000</v>
      </c>
      <c r="F60" s="32" t="s">
        <v>104</v>
      </c>
    </row>
    <row r="61" spans="1:6" s="20" customFormat="1" ht="12.75">
      <c r="A61" s="21"/>
      <c r="B61" s="28"/>
      <c r="C61" s="29" t="s">
        <v>45</v>
      </c>
      <c r="D61" s="30" t="s">
        <v>46</v>
      </c>
      <c r="E61" s="31">
        <v>100</v>
      </c>
      <c r="F61" s="32"/>
    </row>
    <row r="62" spans="1:6" s="20" customFormat="1" ht="25.5">
      <c r="A62" s="21"/>
      <c r="B62" s="21">
        <v>75621</v>
      </c>
      <c r="C62" s="21"/>
      <c r="D62" s="23" t="s">
        <v>105</v>
      </c>
      <c r="E62" s="24">
        <f>SUM(E63:E64)</f>
        <v>2086055</v>
      </c>
      <c r="F62" s="25"/>
    </row>
    <row r="63" spans="1:6" s="20" customFormat="1" ht="27.75" customHeight="1">
      <c r="A63" s="21"/>
      <c r="B63" s="28"/>
      <c r="C63" s="29" t="s">
        <v>106</v>
      </c>
      <c r="D63" s="30" t="s">
        <v>107</v>
      </c>
      <c r="E63" s="31">
        <v>1586055</v>
      </c>
      <c r="F63" s="32" t="s">
        <v>108</v>
      </c>
    </row>
    <row r="64" spans="1:6" s="20" customFormat="1" ht="12.75">
      <c r="A64" s="21"/>
      <c r="B64" s="28"/>
      <c r="C64" s="29" t="s">
        <v>109</v>
      </c>
      <c r="D64" s="30" t="s">
        <v>110</v>
      </c>
      <c r="E64" s="31">
        <v>500000</v>
      </c>
      <c r="F64" s="32"/>
    </row>
    <row r="65" spans="1:6" s="20" customFormat="1" ht="12.75">
      <c r="A65" s="35">
        <v>758</v>
      </c>
      <c r="B65" s="35"/>
      <c r="C65" s="35"/>
      <c r="D65" s="17" t="s">
        <v>111</v>
      </c>
      <c r="E65" s="18">
        <f>E66+E70+E72</f>
        <v>4385001</v>
      </c>
      <c r="F65" s="19"/>
    </row>
    <row r="66" spans="1:6" s="20" customFormat="1" ht="25.5">
      <c r="A66" s="21"/>
      <c r="B66" s="21">
        <v>75801</v>
      </c>
      <c r="C66" s="21"/>
      <c r="D66" s="23" t="s">
        <v>112</v>
      </c>
      <c r="E66" s="24">
        <f>E67</f>
        <v>3884254</v>
      </c>
      <c r="F66" s="25"/>
    </row>
    <row r="67" spans="1:6" s="20" customFormat="1" ht="25.5">
      <c r="A67" s="21"/>
      <c r="B67" s="28"/>
      <c r="C67" s="28">
        <v>2920</v>
      </c>
      <c r="D67" s="30" t="s">
        <v>113</v>
      </c>
      <c r="E67" s="31">
        <v>3884254</v>
      </c>
      <c r="F67" s="32" t="s">
        <v>108</v>
      </c>
    </row>
    <row r="68" spans="1:6" s="20" customFormat="1" ht="25.5" hidden="1">
      <c r="A68" s="21"/>
      <c r="B68" s="21">
        <v>75805</v>
      </c>
      <c r="C68" s="21"/>
      <c r="D68" s="23" t="s">
        <v>114</v>
      </c>
      <c r="E68" s="24">
        <f>E69</f>
        <v>0</v>
      </c>
      <c r="F68" s="50"/>
    </row>
    <row r="69" spans="1:6" s="20" customFormat="1" ht="12.75" hidden="1">
      <c r="A69" s="21"/>
      <c r="B69" s="28"/>
      <c r="C69" s="28">
        <v>2920</v>
      </c>
      <c r="D69" s="30" t="s">
        <v>113</v>
      </c>
      <c r="E69" s="31"/>
      <c r="F69" s="32"/>
    </row>
    <row r="70" spans="1:6" s="20" customFormat="1" ht="12.75">
      <c r="A70" s="21"/>
      <c r="B70" s="21">
        <v>75807</v>
      </c>
      <c r="C70" s="21"/>
      <c r="D70" s="23" t="s">
        <v>115</v>
      </c>
      <c r="E70" s="24">
        <f>E71</f>
        <v>494747</v>
      </c>
      <c r="F70" s="25"/>
    </row>
    <row r="71" spans="1:6" s="20" customFormat="1" ht="25.5">
      <c r="A71" s="21"/>
      <c r="B71" s="28"/>
      <c r="C71" s="28">
        <v>2920</v>
      </c>
      <c r="D71" s="30" t="s">
        <v>113</v>
      </c>
      <c r="E71" s="31">
        <v>494747</v>
      </c>
      <c r="F71" s="32" t="s">
        <v>108</v>
      </c>
    </row>
    <row r="72" spans="1:6" s="51" customFormat="1" ht="12.75">
      <c r="A72" s="21"/>
      <c r="B72" s="21">
        <v>75814</v>
      </c>
      <c r="C72" s="21"/>
      <c r="D72" s="23" t="s">
        <v>116</v>
      </c>
      <c r="E72" s="24">
        <f>E73</f>
        <v>6000</v>
      </c>
      <c r="F72" s="25"/>
    </row>
    <row r="73" spans="1:6" s="20" customFormat="1" ht="12.75">
      <c r="A73" s="21"/>
      <c r="B73" s="28"/>
      <c r="C73" s="29" t="s">
        <v>47</v>
      </c>
      <c r="D73" s="30" t="s">
        <v>48</v>
      </c>
      <c r="E73" s="31">
        <v>6000</v>
      </c>
      <c r="F73" s="32" t="s">
        <v>117</v>
      </c>
    </row>
    <row r="74" spans="1:6" s="20" customFormat="1" ht="12.75">
      <c r="A74" s="35">
        <v>801</v>
      </c>
      <c r="B74" s="35"/>
      <c r="C74" s="35"/>
      <c r="D74" s="17" t="s">
        <v>118</v>
      </c>
      <c r="E74" s="18">
        <f>E75+E77+E80+E83+E85</f>
        <v>6059768</v>
      </c>
      <c r="F74" s="19"/>
    </row>
    <row r="75" spans="1:6" s="20" customFormat="1" ht="12.75">
      <c r="A75" s="38"/>
      <c r="B75" s="38">
        <v>80101</v>
      </c>
      <c r="C75" s="38"/>
      <c r="D75" s="23" t="s">
        <v>119</v>
      </c>
      <c r="E75" s="24">
        <f>E76</f>
        <v>750</v>
      </c>
      <c r="F75" s="25"/>
    </row>
    <row r="76" spans="1:6" s="45" customFormat="1" ht="51">
      <c r="A76" s="43"/>
      <c r="B76" s="43"/>
      <c r="C76" s="29" t="s">
        <v>24</v>
      </c>
      <c r="D76" s="30" t="s">
        <v>25</v>
      </c>
      <c r="E76" s="47">
        <v>750</v>
      </c>
      <c r="F76" s="52" t="s">
        <v>120</v>
      </c>
    </row>
    <row r="77" spans="1:6" s="20" customFormat="1" ht="12.75">
      <c r="A77" s="38"/>
      <c r="B77" s="38">
        <v>80104</v>
      </c>
      <c r="C77" s="38"/>
      <c r="D77" s="39" t="s">
        <v>121</v>
      </c>
      <c r="E77" s="24">
        <f>E78+E79</f>
        <v>48100</v>
      </c>
      <c r="F77" s="25"/>
    </row>
    <row r="78" spans="1:6" s="20" customFormat="1" ht="25.5">
      <c r="A78" s="38"/>
      <c r="B78" s="38"/>
      <c r="C78" s="29" t="s">
        <v>122</v>
      </c>
      <c r="D78" s="30" t="s">
        <v>123</v>
      </c>
      <c r="E78" s="31">
        <v>48000</v>
      </c>
      <c r="F78" s="32" t="s">
        <v>124</v>
      </c>
    </row>
    <row r="79" spans="1:6" s="20" customFormat="1" ht="12.75">
      <c r="A79" s="38"/>
      <c r="B79" s="38"/>
      <c r="C79" s="29" t="s">
        <v>45</v>
      </c>
      <c r="D79" s="30" t="s">
        <v>46</v>
      </c>
      <c r="E79" s="31">
        <v>100</v>
      </c>
      <c r="F79" s="32"/>
    </row>
    <row r="80" spans="1:6" s="20" customFormat="1" ht="12.75">
      <c r="A80" s="38"/>
      <c r="B80" s="21">
        <v>80110</v>
      </c>
      <c r="C80" s="21"/>
      <c r="D80" s="23" t="s">
        <v>125</v>
      </c>
      <c r="E80" s="24">
        <f>E81+E82</f>
        <v>6009818</v>
      </c>
      <c r="F80" s="25"/>
    </row>
    <row r="81" spans="1:6" s="20" customFormat="1" ht="25.5">
      <c r="A81" s="38"/>
      <c r="B81" s="38"/>
      <c r="C81" s="29">
        <v>6299</v>
      </c>
      <c r="D81" s="30" t="s">
        <v>126</v>
      </c>
      <c r="E81" s="31">
        <v>5302781</v>
      </c>
      <c r="F81" s="30" t="s">
        <v>127</v>
      </c>
    </row>
    <row r="82" spans="1:6" s="20" customFormat="1" ht="25.5">
      <c r="A82" s="38"/>
      <c r="B82" s="38"/>
      <c r="C82" s="29">
        <v>6339</v>
      </c>
      <c r="D82" s="30" t="s">
        <v>128</v>
      </c>
      <c r="E82" s="31">
        <v>707037</v>
      </c>
      <c r="F82" s="30" t="s">
        <v>129</v>
      </c>
    </row>
    <row r="83" spans="1:6" s="20" customFormat="1" ht="12.75" hidden="1">
      <c r="A83" s="38"/>
      <c r="B83" s="21">
        <v>80113</v>
      </c>
      <c r="C83" s="21"/>
      <c r="D83" s="23" t="s">
        <v>130</v>
      </c>
      <c r="E83" s="24">
        <f>E84</f>
        <v>0</v>
      </c>
      <c r="F83" s="25"/>
    </row>
    <row r="84" spans="1:6" s="20" customFormat="1" ht="12.75" hidden="1">
      <c r="A84" s="38"/>
      <c r="B84" s="38"/>
      <c r="C84" s="54" t="s">
        <v>131</v>
      </c>
      <c r="D84" s="55" t="s">
        <v>132</v>
      </c>
      <c r="E84" s="31"/>
      <c r="F84" s="32"/>
    </row>
    <row r="85" spans="1:6" s="20" customFormat="1" ht="12.75">
      <c r="A85" s="38"/>
      <c r="B85" s="21">
        <v>80114</v>
      </c>
      <c r="C85" s="21"/>
      <c r="D85" s="23" t="s">
        <v>133</v>
      </c>
      <c r="E85" s="24">
        <f>E86+E87</f>
        <v>1100</v>
      </c>
      <c r="F85" s="25"/>
    </row>
    <row r="86" spans="1:6" s="20" customFormat="1" ht="18" customHeight="1">
      <c r="A86" s="38"/>
      <c r="B86" s="38"/>
      <c r="C86" s="29" t="s">
        <v>57</v>
      </c>
      <c r="D86" s="30" t="s">
        <v>58</v>
      </c>
      <c r="E86" s="31">
        <v>1000</v>
      </c>
      <c r="F86" s="32"/>
    </row>
    <row r="87" spans="1:6" s="20" customFormat="1" ht="18" customHeight="1">
      <c r="A87" s="38"/>
      <c r="B87" s="38"/>
      <c r="C87" s="29" t="s">
        <v>47</v>
      </c>
      <c r="D87" s="30" t="s">
        <v>48</v>
      </c>
      <c r="E87" s="31">
        <v>100</v>
      </c>
      <c r="F87" s="32"/>
    </row>
    <row r="88" spans="1:6" s="20" customFormat="1" ht="12.75">
      <c r="A88" s="35">
        <v>852</v>
      </c>
      <c r="B88" s="35"/>
      <c r="C88" s="35"/>
      <c r="D88" s="17" t="s">
        <v>134</v>
      </c>
      <c r="E88" s="18">
        <f>E91+E93+E96+E98+E89</f>
        <v>1197750</v>
      </c>
      <c r="F88" s="19"/>
    </row>
    <row r="89" spans="1:6" s="45" customFormat="1" ht="25.5">
      <c r="A89" s="43"/>
      <c r="B89" s="21">
        <v>85212</v>
      </c>
      <c r="C89" s="21"/>
      <c r="D89" s="23" t="s">
        <v>135</v>
      </c>
      <c r="E89" s="42">
        <f>E90</f>
        <v>1057000</v>
      </c>
      <c r="F89" s="27"/>
    </row>
    <row r="90" spans="1:6" s="45" customFormat="1" ht="38.25">
      <c r="A90" s="43"/>
      <c r="B90" s="21"/>
      <c r="C90" s="28">
        <v>2010</v>
      </c>
      <c r="D90" s="30" t="s">
        <v>52</v>
      </c>
      <c r="E90" s="47">
        <v>1057000</v>
      </c>
      <c r="F90" s="32" t="s">
        <v>53</v>
      </c>
    </row>
    <row r="91" spans="1:6" s="45" customFormat="1" ht="38.25">
      <c r="A91" s="43"/>
      <c r="B91" s="21">
        <v>85213</v>
      </c>
      <c r="C91" s="21"/>
      <c r="D91" s="23" t="s">
        <v>136</v>
      </c>
      <c r="E91" s="42">
        <f>E92</f>
        <v>12900</v>
      </c>
      <c r="F91" s="27"/>
    </row>
    <row r="92" spans="1:6" s="45" customFormat="1" ht="38.25">
      <c r="A92" s="43"/>
      <c r="B92" s="43"/>
      <c r="C92" s="28">
        <v>2010</v>
      </c>
      <c r="D92" s="30" t="s">
        <v>52</v>
      </c>
      <c r="E92" s="47">
        <v>12900</v>
      </c>
      <c r="F92" s="32" t="s">
        <v>53</v>
      </c>
    </row>
    <row r="93" spans="1:6" s="20" customFormat="1" ht="25.5">
      <c r="A93" s="21"/>
      <c r="B93" s="21">
        <v>85214</v>
      </c>
      <c r="C93" s="21"/>
      <c r="D93" s="23" t="s">
        <v>137</v>
      </c>
      <c r="E93" s="24">
        <f>E94+E95</f>
        <v>63400</v>
      </c>
      <c r="F93" s="25"/>
    </row>
    <row r="94" spans="1:6" s="20" customFormat="1" ht="38.25">
      <c r="A94" s="21"/>
      <c r="B94" s="28"/>
      <c r="C94" s="28">
        <v>2010</v>
      </c>
      <c r="D94" s="30" t="s">
        <v>52</v>
      </c>
      <c r="E94" s="31">
        <v>13700</v>
      </c>
      <c r="F94" s="277" t="s">
        <v>53</v>
      </c>
    </row>
    <row r="95" spans="1:6" s="20" customFormat="1" ht="25.5">
      <c r="A95" s="21"/>
      <c r="B95" s="28"/>
      <c r="C95" s="54">
        <v>2030</v>
      </c>
      <c r="D95" s="55" t="s">
        <v>138</v>
      </c>
      <c r="E95" s="31">
        <v>49700</v>
      </c>
      <c r="F95" s="278"/>
    </row>
    <row r="96" spans="1:6" s="20" customFormat="1" ht="12.75" hidden="1">
      <c r="A96" s="21"/>
      <c r="B96" s="21">
        <v>85216</v>
      </c>
      <c r="C96" s="21"/>
      <c r="D96" s="23" t="s">
        <v>139</v>
      </c>
      <c r="E96" s="24">
        <f>E97</f>
        <v>0</v>
      </c>
      <c r="F96" s="25"/>
    </row>
    <row r="97" spans="1:6" s="20" customFormat="1" ht="38.25" hidden="1">
      <c r="A97" s="21"/>
      <c r="B97" s="28"/>
      <c r="C97" s="28">
        <v>2010</v>
      </c>
      <c r="D97" s="30" t="s">
        <v>52</v>
      </c>
      <c r="E97" s="31"/>
      <c r="F97" s="32"/>
    </row>
    <row r="98" spans="1:6" s="20" customFormat="1" ht="12.75">
      <c r="A98" s="21"/>
      <c r="B98" s="21">
        <v>85219</v>
      </c>
      <c r="C98" s="21"/>
      <c r="D98" s="23" t="s">
        <v>140</v>
      </c>
      <c r="E98" s="24">
        <f>E99+E100</f>
        <v>64450</v>
      </c>
      <c r="F98" s="25"/>
    </row>
    <row r="99" spans="1:6" s="20" customFormat="1" ht="25.5">
      <c r="A99" s="21"/>
      <c r="B99" s="28"/>
      <c r="C99" s="54">
        <v>2030</v>
      </c>
      <c r="D99" s="55" t="s">
        <v>138</v>
      </c>
      <c r="E99" s="31">
        <v>64300</v>
      </c>
      <c r="F99" s="32" t="s">
        <v>53</v>
      </c>
    </row>
    <row r="100" spans="1:6" s="51" customFormat="1" ht="12.75">
      <c r="A100" s="21"/>
      <c r="B100" s="21"/>
      <c r="C100" s="29" t="s">
        <v>47</v>
      </c>
      <c r="D100" s="30" t="s">
        <v>48</v>
      </c>
      <c r="E100" s="31">
        <v>150</v>
      </c>
      <c r="F100" s="57" t="s">
        <v>141</v>
      </c>
    </row>
    <row r="101" spans="1:6" s="60" customFormat="1" ht="12.75" hidden="1">
      <c r="A101" s="58"/>
      <c r="B101" s="58">
        <v>85278</v>
      </c>
      <c r="C101" s="58"/>
      <c r="D101" s="59" t="s">
        <v>142</v>
      </c>
      <c r="E101" s="24">
        <f>E102</f>
        <v>0</v>
      </c>
      <c r="F101" s="50"/>
    </row>
    <row r="102" spans="1:6" s="51" customFormat="1" ht="38.25" hidden="1">
      <c r="A102" s="21"/>
      <c r="B102" s="21"/>
      <c r="C102" s="28">
        <v>2010</v>
      </c>
      <c r="D102" s="30" t="s">
        <v>52</v>
      </c>
      <c r="E102" s="61"/>
      <c r="F102" s="25"/>
    </row>
    <row r="103" spans="1:6" s="60" customFormat="1" ht="12.75" hidden="1">
      <c r="A103" s="58"/>
      <c r="B103" s="58">
        <v>85295</v>
      </c>
      <c r="C103" s="58"/>
      <c r="D103" s="59" t="s">
        <v>23</v>
      </c>
      <c r="E103" s="24">
        <f>E104</f>
        <v>0</v>
      </c>
      <c r="F103" s="50"/>
    </row>
    <row r="104" spans="1:6" s="51" customFormat="1" ht="25.5" hidden="1">
      <c r="A104" s="21"/>
      <c r="B104" s="21"/>
      <c r="C104" s="54">
        <v>2030</v>
      </c>
      <c r="D104" s="55" t="s">
        <v>138</v>
      </c>
      <c r="E104" s="61"/>
      <c r="F104" s="25"/>
    </row>
    <row r="105" spans="1:6" s="20" customFormat="1" ht="12.75">
      <c r="A105" s="35">
        <v>900</v>
      </c>
      <c r="B105" s="35"/>
      <c r="C105" s="35"/>
      <c r="D105" s="17" t="s">
        <v>143</v>
      </c>
      <c r="E105" s="18">
        <f>E106+E108</f>
        <v>34900</v>
      </c>
      <c r="F105" s="19"/>
    </row>
    <row r="106" spans="1:6" s="20" customFormat="1" ht="27" customHeight="1">
      <c r="A106" s="21"/>
      <c r="B106" s="21">
        <v>90001</v>
      </c>
      <c r="C106" s="21"/>
      <c r="D106" s="23" t="s">
        <v>144</v>
      </c>
      <c r="E106" s="24">
        <f>SUM(E107:E107)</f>
        <v>14900</v>
      </c>
      <c r="F106" s="25"/>
    </row>
    <row r="107" spans="1:6" s="20" customFormat="1" ht="38.25">
      <c r="A107" s="21"/>
      <c r="B107" s="28"/>
      <c r="C107" s="29" t="s">
        <v>29</v>
      </c>
      <c r="D107" s="30" t="s">
        <v>30</v>
      </c>
      <c r="E107" s="31">
        <f>9900+5000</f>
        <v>14900</v>
      </c>
      <c r="F107" s="32" t="s">
        <v>145</v>
      </c>
    </row>
    <row r="108" spans="1:6" s="20" customFormat="1" ht="12.75">
      <c r="A108" s="21"/>
      <c r="B108" s="21">
        <v>90011</v>
      </c>
      <c r="C108" s="21"/>
      <c r="D108" s="23" t="s">
        <v>146</v>
      </c>
      <c r="E108" s="24">
        <f>SUM(E109:E109)</f>
        <v>20000</v>
      </c>
      <c r="F108" s="25"/>
    </row>
    <row r="109" spans="1:6" s="20" customFormat="1" ht="12.75">
      <c r="A109" s="28"/>
      <c r="B109" s="28"/>
      <c r="C109" s="29" t="s">
        <v>147</v>
      </c>
      <c r="D109" s="30" t="s">
        <v>148</v>
      </c>
      <c r="E109" s="31">
        <f>15000+5000</f>
        <v>20000</v>
      </c>
      <c r="F109" s="32"/>
    </row>
    <row r="110" spans="1:7" s="10" customFormat="1" ht="15.75">
      <c r="A110" s="62"/>
      <c r="B110" s="63"/>
      <c r="C110" s="63"/>
      <c r="D110" s="62" t="s">
        <v>149</v>
      </c>
      <c r="E110" s="64">
        <f>E6+E9+E12+E15+E22+E28+E31+E34+E65+E74+E88+E105</f>
        <v>17971195</v>
      </c>
      <c r="F110" s="65"/>
      <c r="G110" s="66" t="e">
        <f>#REF!-E110</f>
        <v>#REF!</v>
      </c>
    </row>
    <row r="111" s="20" customFormat="1" ht="12.75">
      <c r="E111" s="67"/>
    </row>
    <row r="112" spans="5:6" s="20" customFormat="1" ht="12.75">
      <c r="E112" s="68">
        <f>E110</f>
        <v>17971195</v>
      </c>
      <c r="F112" s="49"/>
    </row>
    <row r="113" spans="4:6" s="20" customFormat="1" ht="12.75">
      <c r="D113" s="20">
        <v>201</v>
      </c>
      <c r="E113" s="70">
        <f>E94+E90+E92+E33+E30+E24</f>
        <v>1138053</v>
      </c>
      <c r="F113" s="49"/>
    </row>
    <row r="114" spans="4:6" s="20" customFormat="1" ht="12.75">
      <c r="D114" s="71">
        <v>203</v>
      </c>
      <c r="E114" s="68">
        <f>E99+E95</f>
        <v>114000</v>
      </c>
      <c r="F114" s="49"/>
    </row>
    <row r="115" spans="4:6" s="20" customFormat="1" ht="12.75">
      <c r="D115" s="71">
        <v>292</v>
      </c>
      <c r="E115" s="68">
        <f>E71+E67</f>
        <v>4379001</v>
      </c>
      <c r="F115" s="49"/>
    </row>
    <row r="116" ht="12.75">
      <c r="E116" s="72">
        <v>6698109</v>
      </c>
    </row>
    <row r="118" ht="12.75">
      <c r="E118" s="72">
        <f>E112-E113-E114-E115</f>
        <v>12340141</v>
      </c>
    </row>
  </sheetData>
  <mergeCells count="7">
    <mergeCell ref="F94:F95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54"/>
  <sheetViews>
    <sheetView workbookViewId="0" topLeftCell="A237">
      <selection activeCell="G247" sqref="G247"/>
    </sheetView>
  </sheetViews>
  <sheetFormatPr defaultColWidth="9.140625" defaultRowHeight="12.75"/>
  <cols>
    <col min="1" max="1" width="2.28125" style="3" customWidth="1"/>
    <col min="2" max="2" width="4.28125" style="3" customWidth="1"/>
    <col min="3" max="3" width="5.7109375" style="3" customWidth="1"/>
    <col min="4" max="4" width="4.8515625" style="3" customWidth="1"/>
    <col min="5" max="5" width="28.57421875" style="3" customWidth="1"/>
    <col min="6" max="6" width="25.8515625" style="3" customWidth="1"/>
    <col min="7" max="7" width="53.57421875" style="133" customWidth="1"/>
    <col min="8" max="9" width="11.57421875" style="3" customWidth="1"/>
    <col min="10" max="16384" width="9.140625" style="3" customWidth="1"/>
  </cols>
  <sheetData>
    <row r="1" spans="2:7" ht="26.25" thickBot="1">
      <c r="B1" s="1" t="s">
        <v>150</v>
      </c>
      <c r="C1" s="73"/>
      <c r="D1" s="2"/>
      <c r="F1" s="4"/>
      <c r="G1" s="5" t="s">
        <v>151</v>
      </c>
    </row>
    <row r="2" spans="2:7" s="20" customFormat="1" ht="15.75" customHeight="1">
      <c r="B2" s="148" t="s">
        <v>2</v>
      </c>
      <c r="C2" s="279" t="s">
        <v>152</v>
      </c>
      <c r="D2" s="279" t="s">
        <v>4</v>
      </c>
      <c r="E2" s="279" t="s">
        <v>5</v>
      </c>
      <c r="F2" s="235" t="s">
        <v>153</v>
      </c>
      <c r="G2" s="253"/>
    </row>
    <row r="3" spans="2:7" s="75" customFormat="1" ht="79.5" customHeight="1" thickBot="1">
      <c r="B3" s="149"/>
      <c r="C3" s="280"/>
      <c r="D3" s="280"/>
      <c r="E3" s="280"/>
      <c r="F3" s="164"/>
      <c r="G3" s="234"/>
    </row>
    <row r="4" spans="2:7" ht="12.75">
      <c r="B4" s="76"/>
      <c r="C4" s="77"/>
      <c r="D4" s="77"/>
      <c r="E4" s="77"/>
      <c r="F4" s="77"/>
      <c r="G4" s="78"/>
    </row>
    <row r="5" spans="2:7" ht="12.75">
      <c r="B5" s="79" t="s">
        <v>154</v>
      </c>
      <c r="C5" s="80"/>
      <c r="D5" s="80"/>
      <c r="E5" s="81" t="s">
        <v>155</v>
      </c>
      <c r="F5" s="82">
        <f>F6+F10+F12+F14+F16</f>
        <v>574840</v>
      </c>
      <c r="G5" s="83"/>
    </row>
    <row r="6" spans="2:7" s="20" customFormat="1" ht="12.75" customHeight="1">
      <c r="B6" s="84"/>
      <c r="C6" s="22" t="s">
        <v>156</v>
      </c>
      <c r="D6" s="21"/>
      <c r="E6" s="23" t="s">
        <v>157</v>
      </c>
      <c r="F6" s="24">
        <f>SUM(F7:F9)</f>
        <v>27000</v>
      </c>
      <c r="G6" s="85"/>
    </row>
    <row r="7" spans="2:7" s="20" customFormat="1" ht="12.75">
      <c r="B7" s="84"/>
      <c r="C7" s="29"/>
      <c r="D7" s="28">
        <v>4210</v>
      </c>
      <c r="E7" s="30" t="s">
        <v>158</v>
      </c>
      <c r="F7" s="31">
        <v>2000</v>
      </c>
      <c r="G7" s="85" t="s">
        <v>159</v>
      </c>
    </row>
    <row r="8" spans="2:7" s="20" customFormat="1" ht="12.75">
      <c r="B8" s="84"/>
      <c r="C8" s="29"/>
      <c r="D8" s="28">
        <v>4270</v>
      </c>
      <c r="E8" s="30" t="s">
        <v>160</v>
      </c>
      <c r="F8" s="31">
        <v>20000</v>
      </c>
      <c r="G8" s="281" t="s">
        <v>161</v>
      </c>
    </row>
    <row r="9" spans="2:7" s="20" customFormat="1" ht="12.75">
      <c r="B9" s="84"/>
      <c r="C9" s="29"/>
      <c r="D9" s="28">
        <v>4300</v>
      </c>
      <c r="E9" s="30" t="s">
        <v>162</v>
      </c>
      <c r="F9" s="31">
        <v>5000</v>
      </c>
      <c r="G9" s="282"/>
    </row>
    <row r="10" spans="2:7" s="20" customFormat="1" ht="25.5">
      <c r="B10" s="84"/>
      <c r="C10" s="22" t="s">
        <v>163</v>
      </c>
      <c r="D10" s="21"/>
      <c r="E10" s="23" t="s">
        <v>164</v>
      </c>
      <c r="F10" s="24">
        <f>SUM(F11:F11)</f>
        <v>501440</v>
      </c>
      <c r="G10" s="87"/>
    </row>
    <row r="11" spans="2:7" s="20" customFormat="1" ht="57.75" customHeight="1">
      <c r="B11" s="88"/>
      <c r="C11" s="29"/>
      <c r="D11" s="28">
        <v>6050</v>
      </c>
      <c r="E11" s="30" t="s">
        <v>165</v>
      </c>
      <c r="F11" s="89">
        <f>80000+1000000+8000+101000+121000+83440+8000-500000-400000</f>
        <v>501440</v>
      </c>
      <c r="G11" s="87" t="s">
        <v>166</v>
      </c>
    </row>
    <row r="12" spans="2:7" s="20" customFormat="1" ht="76.5">
      <c r="B12" s="84"/>
      <c r="C12" s="22" t="s">
        <v>167</v>
      </c>
      <c r="D12" s="21"/>
      <c r="E12" s="23" t="s">
        <v>168</v>
      </c>
      <c r="F12" s="24">
        <f>SUM(F13:F13)</f>
        <v>7705</v>
      </c>
      <c r="G12" s="284" t="s">
        <v>169</v>
      </c>
    </row>
    <row r="13" spans="2:7" s="20" customFormat="1" ht="12.75">
      <c r="B13" s="84"/>
      <c r="C13" s="28"/>
      <c r="D13" s="28">
        <v>4300</v>
      </c>
      <c r="E13" s="30" t="s">
        <v>162</v>
      </c>
      <c r="F13" s="31">
        <v>7705</v>
      </c>
      <c r="G13" s="285"/>
    </row>
    <row r="14" spans="2:7" s="20" customFormat="1" ht="14.25" customHeight="1">
      <c r="B14" s="84"/>
      <c r="C14" s="22" t="s">
        <v>170</v>
      </c>
      <c r="D14" s="28"/>
      <c r="E14" s="23" t="s">
        <v>171</v>
      </c>
      <c r="F14" s="24">
        <f>SUM(F15)</f>
        <v>19000</v>
      </c>
      <c r="G14" s="90"/>
    </row>
    <row r="15" spans="2:7" s="20" customFormat="1" ht="51">
      <c r="B15" s="84"/>
      <c r="C15" s="28"/>
      <c r="D15" s="28">
        <v>2850</v>
      </c>
      <c r="E15" s="30" t="s">
        <v>172</v>
      </c>
      <c r="F15" s="31">
        <v>19000</v>
      </c>
      <c r="G15" s="87" t="s">
        <v>173</v>
      </c>
    </row>
    <row r="16" spans="2:7" s="20" customFormat="1" ht="18.75" customHeight="1">
      <c r="B16" s="84"/>
      <c r="C16" s="22" t="s">
        <v>174</v>
      </c>
      <c r="D16" s="21"/>
      <c r="E16" s="23" t="s">
        <v>23</v>
      </c>
      <c r="F16" s="24">
        <f>F18+F17</f>
        <v>19695</v>
      </c>
      <c r="G16" s="87"/>
    </row>
    <row r="17" spans="2:7" s="20" customFormat="1" ht="12.75">
      <c r="B17" s="84"/>
      <c r="C17" s="22"/>
      <c r="D17" s="28">
        <v>4210</v>
      </c>
      <c r="E17" s="30" t="s">
        <v>158</v>
      </c>
      <c r="F17" s="31">
        <v>6000</v>
      </c>
      <c r="G17" s="281" t="s">
        <v>175</v>
      </c>
    </row>
    <row r="18" spans="2:7" s="20" customFormat="1" ht="21.75" customHeight="1">
      <c r="B18" s="84"/>
      <c r="C18" s="28"/>
      <c r="D18" s="28">
        <v>4300</v>
      </c>
      <c r="E18" s="30" t="s">
        <v>162</v>
      </c>
      <c r="F18" s="31">
        <v>13695</v>
      </c>
      <c r="G18" s="282"/>
    </row>
    <row r="19" spans="2:7" s="20" customFormat="1" ht="12.75">
      <c r="B19" s="79" t="s">
        <v>20</v>
      </c>
      <c r="C19" s="80"/>
      <c r="D19" s="80"/>
      <c r="E19" s="81" t="s">
        <v>21</v>
      </c>
      <c r="F19" s="91">
        <f>F20</f>
        <v>5000</v>
      </c>
      <c r="G19" s="92"/>
    </row>
    <row r="20" spans="2:7" s="20" customFormat="1" ht="16.5" customHeight="1">
      <c r="B20" s="84"/>
      <c r="C20" s="22" t="s">
        <v>22</v>
      </c>
      <c r="D20" s="21"/>
      <c r="E20" s="23" t="s">
        <v>23</v>
      </c>
      <c r="F20" s="24">
        <f>SUM(F21:F22)</f>
        <v>5000</v>
      </c>
      <c r="G20" s="87"/>
    </row>
    <row r="21" spans="2:7" s="20" customFormat="1" ht="12.75">
      <c r="B21" s="84"/>
      <c r="C21" s="29"/>
      <c r="D21" s="28">
        <v>4210</v>
      </c>
      <c r="E21" s="30" t="s">
        <v>158</v>
      </c>
      <c r="F21" s="31">
        <v>2000</v>
      </c>
      <c r="G21" s="87" t="s">
        <v>176</v>
      </c>
    </row>
    <row r="22" spans="2:7" s="20" customFormat="1" ht="12.75">
      <c r="B22" s="84"/>
      <c r="C22" s="29"/>
      <c r="D22" s="28">
        <v>4300</v>
      </c>
      <c r="E22" s="30" t="s">
        <v>162</v>
      </c>
      <c r="F22" s="31">
        <v>3000</v>
      </c>
      <c r="G22" s="87" t="s">
        <v>177</v>
      </c>
    </row>
    <row r="23" spans="2:7" s="20" customFormat="1" ht="12.75">
      <c r="B23" s="93">
        <v>600</v>
      </c>
      <c r="C23" s="94"/>
      <c r="D23" s="94"/>
      <c r="E23" s="95" t="s">
        <v>32</v>
      </c>
      <c r="F23" s="91">
        <f>F24</f>
        <v>45000</v>
      </c>
      <c r="G23" s="92"/>
    </row>
    <row r="24" spans="2:7" s="20" customFormat="1" ht="12.75" customHeight="1">
      <c r="B24" s="84"/>
      <c r="C24" s="21">
        <v>60016</v>
      </c>
      <c r="D24" s="21"/>
      <c r="E24" s="23" t="s">
        <v>33</v>
      </c>
      <c r="F24" s="24">
        <f>SUM(F25:F26)</f>
        <v>45000</v>
      </c>
      <c r="G24" s="281" t="s">
        <v>178</v>
      </c>
    </row>
    <row r="25" spans="2:7" s="20" customFormat="1" ht="25.5">
      <c r="B25" s="88"/>
      <c r="C25" s="29"/>
      <c r="D25" s="28">
        <v>6050</v>
      </c>
      <c r="E25" s="30" t="s">
        <v>165</v>
      </c>
      <c r="F25" s="31">
        <f>65000-20000</f>
        <v>45000</v>
      </c>
      <c r="G25" s="283"/>
    </row>
    <row r="26" spans="2:7" s="20" customFormat="1" ht="25.5" hidden="1">
      <c r="B26" s="88"/>
      <c r="C26" s="29"/>
      <c r="D26" s="28">
        <v>6052</v>
      </c>
      <c r="E26" s="30" t="s">
        <v>165</v>
      </c>
      <c r="F26" s="31"/>
      <c r="G26" s="96"/>
    </row>
    <row r="27" spans="2:7" s="20" customFormat="1" ht="12.75">
      <c r="B27" s="93">
        <v>700</v>
      </c>
      <c r="C27" s="94"/>
      <c r="D27" s="94"/>
      <c r="E27" s="95" t="s">
        <v>36</v>
      </c>
      <c r="F27" s="91">
        <f>F30+F28</f>
        <v>615533</v>
      </c>
      <c r="G27" s="92"/>
    </row>
    <row r="28" spans="2:7" s="20" customFormat="1" ht="25.5">
      <c r="B28" s="84"/>
      <c r="C28" s="21">
        <v>70004</v>
      </c>
      <c r="D28" s="21"/>
      <c r="E28" s="23" t="s">
        <v>179</v>
      </c>
      <c r="F28" s="24">
        <f>SUM(F29:F29)</f>
        <v>370533</v>
      </c>
      <c r="G28" s="90"/>
    </row>
    <row r="29" spans="2:7" s="4" customFormat="1" ht="38.25">
      <c r="B29" s="97"/>
      <c r="C29" s="98"/>
      <c r="D29" s="28">
        <v>2650</v>
      </c>
      <c r="E29" s="30" t="s">
        <v>180</v>
      </c>
      <c r="F29" s="31">
        <v>370533</v>
      </c>
      <c r="G29" s="86" t="s">
        <v>181</v>
      </c>
    </row>
    <row r="30" spans="2:7" s="99" customFormat="1" ht="25.5">
      <c r="B30" s="100"/>
      <c r="C30" s="21">
        <v>70005</v>
      </c>
      <c r="D30" s="21"/>
      <c r="E30" s="23" t="s">
        <v>37</v>
      </c>
      <c r="F30" s="24">
        <f>SUM(F31:F33)</f>
        <v>245000</v>
      </c>
      <c r="G30" s="101"/>
    </row>
    <row r="31" spans="2:7" s="99" customFormat="1" ht="25.5">
      <c r="B31" s="100"/>
      <c r="C31" s="43"/>
      <c r="D31" s="28">
        <v>4210</v>
      </c>
      <c r="E31" s="30" t="s">
        <v>158</v>
      </c>
      <c r="F31" s="47">
        <f>40000+60000+40000-40000</f>
        <v>100000</v>
      </c>
      <c r="G31" s="102" t="s">
        <v>182</v>
      </c>
    </row>
    <row r="32" spans="2:7" s="99" customFormat="1" ht="51">
      <c r="B32" s="100"/>
      <c r="C32" s="43"/>
      <c r="D32" s="28">
        <v>4300</v>
      </c>
      <c r="E32" s="30" t="s">
        <v>162</v>
      </c>
      <c r="F32" s="47">
        <f>30000+10000+15000+20000+10000+5000+5000+35000+20000-40000</f>
        <v>110000</v>
      </c>
      <c r="G32" s="103" t="s">
        <v>183</v>
      </c>
    </row>
    <row r="33" spans="2:7" s="99" customFormat="1" ht="25.5">
      <c r="B33" s="100"/>
      <c r="C33" s="43"/>
      <c r="D33" s="28">
        <v>6050</v>
      </c>
      <c r="E33" s="30" t="s">
        <v>165</v>
      </c>
      <c r="F33" s="47">
        <v>35000</v>
      </c>
      <c r="G33" s="104" t="s">
        <v>184</v>
      </c>
    </row>
    <row r="34" spans="2:7" s="20" customFormat="1" ht="12.75">
      <c r="B34" s="93">
        <v>710</v>
      </c>
      <c r="C34" s="94"/>
      <c r="D34" s="94"/>
      <c r="E34" s="95" t="s">
        <v>185</v>
      </c>
      <c r="F34" s="91">
        <f>F35+F37</f>
        <v>210000</v>
      </c>
      <c r="G34" s="91"/>
    </row>
    <row r="35" spans="2:7" s="20" customFormat="1" ht="27" customHeight="1">
      <c r="B35" s="84"/>
      <c r="C35" s="21">
        <v>71004</v>
      </c>
      <c r="D35" s="21"/>
      <c r="E35" s="23" t="s">
        <v>186</v>
      </c>
      <c r="F35" s="24">
        <f>SUM(F36:F36)</f>
        <v>200000</v>
      </c>
      <c r="G35" s="105"/>
    </row>
    <row r="36" spans="2:7" s="20" customFormat="1" ht="38.25">
      <c r="B36" s="84"/>
      <c r="C36" s="28"/>
      <c r="D36" s="28">
        <v>4300</v>
      </c>
      <c r="E36" s="30" t="s">
        <v>162</v>
      </c>
      <c r="F36" s="31">
        <f>573000-40000-200000-133000</f>
        <v>200000</v>
      </c>
      <c r="G36" s="87" t="s">
        <v>187</v>
      </c>
    </row>
    <row r="37" spans="2:7" s="20" customFormat="1" ht="25.5">
      <c r="B37" s="84"/>
      <c r="C37" s="21">
        <v>71014</v>
      </c>
      <c r="D37" s="21"/>
      <c r="E37" s="23" t="s">
        <v>188</v>
      </c>
      <c r="F37" s="24">
        <f>SUM(F38:F38)</f>
        <v>10000</v>
      </c>
      <c r="G37" s="87"/>
    </row>
    <row r="38" spans="2:7" s="20" customFormat="1" ht="12.75">
      <c r="B38" s="84"/>
      <c r="C38" s="28"/>
      <c r="D38" s="28">
        <v>4300</v>
      </c>
      <c r="E38" s="30" t="s">
        <v>162</v>
      </c>
      <c r="F38" s="31">
        <v>10000</v>
      </c>
      <c r="G38" s="87" t="s">
        <v>189</v>
      </c>
    </row>
    <row r="39" spans="2:7" s="20" customFormat="1" ht="12.75">
      <c r="B39" s="93">
        <v>750</v>
      </c>
      <c r="C39" s="94"/>
      <c r="D39" s="94"/>
      <c r="E39" s="95" t="s">
        <v>50</v>
      </c>
      <c r="F39" s="91">
        <f>F40+F43+F49+F64</f>
        <v>2208218</v>
      </c>
      <c r="G39" s="92"/>
    </row>
    <row r="40" spans="2:7" s="20" customFormat="1" ht="12.75">
      <c r="B40" s="84"/>
      <c r="C40" s="21">
        <v>75011</v>
      </c>
      <c r="D40" s="21"/>
      <c r="E40" s="23" t="s">
        <v>51</v>
      </c>
      <c r="F40" s="24">
        <f>SUM(F41:F42)</f>
        <v>53000</v>
      </c>
      <c r="G40" s="87"/>
    </row>
    <row r="41" spans="2:7" s="20" customFormat="1" ht="25.5">
      <c r="B41" s="84"/>
      <c r="C41" s="28"/>
      <c r="D41" s="28">
        <v>4010</v>
      </c>
      <c r="E41" s="30" t="s">
        <v>190</v>
      </c>
      <c r="F41" s="31">
        <v>45210</v>
      </c>
      <c r="G41" s="281" t="s">
        <v>191</v>
      </c>
    </row>
    <row r="42" spans="2:7" s="20" customFormat="1" ht="12.75">
      <c r="B42" s="84"/>
      <c r="C42" s="28"/>
      <c r="D42" s="28">
        <v>4110</v>
      </c>
      <c r="E42" s="30" t="s">
        <v>192</v>
      </c>
      <c r="F42" s="31">
        <v>7790</v>
      </c>
      <c r="G42" s="282"/>
    </row>
    <row r="43" spans="2:7" s="20" customFormat="1" ht="12.75">
      <c r="B43" s="84"/>
      <c r="C43" s="21">
        <v>75022</v>
      </c>
      <c r="D43" s="21"/>
      <c r="E43" s="23" t="s">
        <v>193</v>
      </c>
      <c r="F43" s="24">
        <f>SUM(F44:F48)</f>
        <v>172800</v>
      </c>
      <c r="G43" s="87"/>
    </row>
    <row r="44" spans="2:7" s="20" customFormat="1" ht="38.25">
      <c r="B44" s="84"/>
      <c r="C44" s="28"/>
      <c r="D44" s="28">
        <v>3030</v>
      </c>
      <c r="E44" s="30" t="s">
        <v>194</v>
      </c>
      <c r="F44" s="31">
        <v>88800</v>
      </c>
      <c r="G44" s="87" t="s">
        <v>195</v>
      </c>
    </row>
    <row r="45" spans="2:7" s="20" customFormat="1" ht="38.25">
      <c r="B45" s="84"/>
      <c r="C45" s="28"/>
      <c r="D45" s="28">
        <v>4210</v>
      </c>
      <c r="E45" s="30" t="s">
        <v>158</v>
      </c>
      <c r="F45" s="31">
        <v>50000</v>
      </c>
      <c r="G45" s="87" t="s">
        <v>196</v>
      </c>
    </row>
    <row r="46" spans="2:7" s="20" customFormat="1" ht="25.5">
      <c r="B46" s="84"/>
      <c r="C46" s="28"/>
      <c r="D46" s="28">
        <v>4300</v>
      </c>
      <c r="E46" s="30" t="s">
        <v>162</v>
      </c>
      <c r="F46" s="31">
        <v>30500</v>
      </c>
      <c r="G46" s="87" t="s">
        <v>197</v>
      </c>
    </row>
    <row r="47" spans="2:7" s="20" customFormat="1" ht="12.75">
      <c r="B47" s="84"/>
      <c r="C47" s="28"/>
      <c r="D47" s="28">
        <v>4410</v>
      </c>
      <c r="E47" s="30" t="s">
        <v>198</v>
      </c>
      <c r="F47" s="31">
        <v>1500</v>
      </c>
      <c r="G47" s="87" t="s">
        <v>199</v>
      </c>
    </row>
    <row r="48" spans="2:7" s="20" customFormat="1" ht="12.75">
      <c r="B48" s="84"/>
      <c r="C48" s="28"/>
      <c r="D48" s="28">
        <v>4420</v>
      </c>
      <c r="E48" s="30" t="s">
        <v>200</v>
      </c>
      <c r="F48" s="31">
        <v>2000</v>
      </c>
      <c r="G48" s="87" t="s">
        <v>201</v>
      </c>
    </row>
    <row r="49" spans="2:7" s="20" customFormat="1" ht="12.75">
      <c r="B49" s="84"/>
      <c r="C49" s="21">
        <v>75023</v>
      </c>
      <c r="D49" s="21"/>
      <c r="E49" s="23" t="s">
        <v>56</v>
      </c>
      <c r="F49" s="24">
        <f>SUM(F50:F63)</f>
        <v>1912418</v>
      </c>
      <c r="G49" s="87"/>
    </row>
    <row r="50" spans="2:7" s="20" customFormat="1" ht="25.5">
      <c r="B50" s="84"/>
      <c r="C50" s="28"/>
      <c r="D50" s="28">
        <v>3020</v>
      </c>
      <c r="E50" s="30" t="s">
        <v>202</v>
      </c>
      <c r="F50" s="31">
        <v>12000</v>
      </c>
      <c r="G50" s="87" t="s">
        <v>203</v>
      </c>
    </row>
    <row r="51" spans="2:7" s="20" customFormat="1" ht="25.5">
      <c r="B51" s="84"/>
      <c r="C51" s="28"/>
      <c r="D51" s="28">
        <v>4010</v>
      </c>
      <c r="E51" s="30" t="s">
        <v>190</v>
      </c>
      <c r="F51" s="31">
        <v>1080000</v>
      </c>
      <c r="G51" s="87" t="s">
        <v>204</v>
      </c>
    </row>
    <row r="52" spans="2:7" s="20" customFormat="1" ht="12.75">
      <c r="B52" s="84"/>
      <c r="C52" s="28"/>
      <c r="D52" s="28">
        <v>4040</v>
      </c>
      <c r="E52" s="30" t="s">
        <v>205</v>
      </c>
      <c r="F52" s="31">
        <v>69700</v>
      </c>
      <c r="G52" s="87"/>
    </row>
    <row r="53" spans="2:7" s="20" customFormat="1" ht="12.75">
      <c r="B53" s="84"/>
      <c r="C53" s="28"/>
      <c r="D53" s="28">
        <v>4110</v>
      </c>
      <c r="E53" s="30" t="s">
        <v>192</v>
      </c>
      <c r="F53" s="31">
        <v>188000</v>
      </c>
      <c r="G53" s="87"/>
    </row>
    <row r="54" spans="2:7" s="20" customFormat="1" ht="12.75">
      <c r="B54" s="84"/>
      <c r="C54" s="28"/>
      <c r="D54" s="28">
        <v>4120</v>
      </c>
      <c r="E54" s="30" t="s">
        <v>206</v>
      </c>
      <c r="F54" s="31">
        <v>26630</v>
      </c>
      <c r="G54" s="87"/>
    </row>
    <row r="55" spans="2:7" s="20" customFormat="1" ht="25.5">
      <c r="B55" s="84"/>
      <c r="C55" s="28"/>
      <c r="D55" s="28">
        <v>4210</v>
      </c>
      <c r="E55" s="30" t="s">
        <v>158</v>
      </c>
      <c r="F55" s="31">
        <f>45000+4500+2700+600+2000+23180+3000+4000+700+14100+1600+400</f>
        <v>101780</v>
      </c>
      <c r="G55" s="87" t="s">
        <v>207</v>
      </c>
    </row>
    <row r="56" spans="2:7" s="20" customFormat="1" ht="12.75">
      <c r="B56" s="84"/>
      <c r="C56" s="28"/>
      <c r="D56" s="28">
        <v>4260</v>
      </c>
      <c r="E56" s="30" t="s">
        <v>208</v>
      </c>
      <c r="F56" s="31">
        <v>30000</v>
      </c>
      <c r="G56" s="87" t="s">
        <v>209</v>
      </c>
    </row>
    <row r="57" spans="2:7" s="20" customFormat="1" ht="38.25">
      <c r="B57" s="84"/>
      <c r="C57" s="28"/>
      <c r="D57" s="28">
        <v>4270</v>
      </c>
      <c r="E57" s="30" t="s">
        <v>160</v>
      </c>
      <c r="F57" s="31">
        <v>30000</v>
      </c>
      <c r="G57" s="106" t="s">
        <v>210</v>
      </c>
    </row>
    <row r="58" spans="2:7" s="20" customFormat="1" ht="25.5">
      <c r="B58" s="84"/>
      <c r="C58" s="28"/>
      <c r="D58" s="28">
        <v>4300</v>
      </c>
      <c r="E58" s="30" t="s">
        <v>162</v>
      </c>
      <c r="F58" s="31">
        <v>160000</v>
      </c>
      <c r="G58" s="87" t="s">
        <v>211</v>
      </c>
    </row>
    <row r="59" spans="2:7" s="20" customFormat="1" ht="12.75">
      <c r="B59" s="84"/>
      <c r="C59" s="28"/>
      <c r="D59" s="28">
        <v>4410</v>
      </c>
      <c r="E59" s="30" t="s">
        <v>198</v>
      </c>
      <c r="F59" s="31">
        <v>36000</v>
      </c>
      <c r="G59" s="87" t="s">
        <v>212</v>
      </c>
    </row>
    <row r="60" spans="2:7" s="20" customFormat="1" ht="12.75">
      <c r="B60" s="84"/>
      <c r="C60" s="28"/>
      <c r="D60" s="28">
        <v>4420</v>
      </c>
      <c r="E60" s="30" t="s">
        <v>200</v>
      </c>
      <c r="F60" s="31">
        <v>2000</v>
      </c>
      <c r="G60" s="87"/>
    </row>
    <row r="61" spans="2:7" s="20" customFormat="1" ht="25.5">
      <c r="B61" s="84"/>
      <c r="C61" s="28"/>
      <c r="D61" s="28">
        <v>4430</v>
      </c>
      <c r="E61" s="30" t="s">
        <v>213</v>
      </c>
      <c r="F61" s="31">
        <f>8599+6709+30000</f>
        <v>45308</v>
      </c>
      <c r="G61" s="87" t="s">
        <v>214</v>
      </c>
    </row>
    <row r="62" spans="2:7" s="20" customFormat="1" ht="25.5">
      <c r="B62" s="84"/>
      <c r="C62" s="28"/>
      <c r="D62" s="28">
        <v>4440</v>
      </c>
      <c r="E62" s="30" t="s">
        <v>215</v>
      </c>
      <c r="F62" s="31">
        <v>31000</v>
      </c>
      <c r="G62" s="87"/>
    </row>
    <row r="63" spans="2:7" s="20" customFormat="1" ht="51">
      <c r="B63" s="84"/>
      <c r="C63" s="28"/>
      <c r="D63" s="28">
        <v>6050</v>
      </c>
      <c r="E63" s="30" t="s">
        <v>165</v>
      </c>
      <c r="F63" s="31">
        <v>100000</v>
      </c>
      <c r="G63" s="87" t="s">
        <v>216</v>
      </c>
    </row>
    <row r="64" spans="2:7" s="20" customFormat="1" ht="12.75">
      <c r="B64" s="84"/>
      <c r="C64" s="21">
        <v>75095</v>
      </c>
      <c r="D64" s="21"/>
      <c r="E64" s="23" t="s">
        <v>23</v>
      </c>
      <c r="F64" s="24">
        <f>SUM(F65:F68)</f>
        <v>70000</v>
      </c>
      <c r="G64" s="87"/>
    </row>
    <row r="65" spans="2:7" s="20" customFormat="1" ht="12.75">
      <c r="B65" s="84"/>
      <c r="C65" s="21"/>
      <c r="D65" s="28">
        <v>4210</v>
      </c>
      <c r="E65" s="30" t="s">
        <v>158</v>
      </c>
      <c r="F65" s="31">
        <v>27000</v>
      </c>
      <c r="G65" s="281" t="s">
        <v>217</v>
      </c>
    </row>
    <row r="66" spans="2:7" s="20" customFormat="1" ht="12.75">
      <c r="B66" s="84"/>
      <c r="C66" s="21"/>
      <c r="D66" s="28">
        <v>4260</v>
      </c>
      <c r="E66" s="30" t="s">
        <v>208</v>
      </c>
      <c r="F66" s="31">
        <v>24000</v>
      </c>
      <c r="G66" s="283"/>
    </row>
    <row r="67" spans="2:7" s="20" customFormat="1" ht="12.75">
      <c r="B67" s="84"/>
      <c r="C67" s="21"/>
      <c r="D67" s="28">
        <v>4270</v>
      </c>
      <c r="E67" s="30" t="s">
        <v>218</v>
      </c>
      <c r="F67" s="31">
        <v>2000</v>
      </c>
      <c r="G67" s="283"/>
    </row>
    <row r="68" spans="2:7" s="20" customFormat="1" ht="12.75">
      <c r="B68" s="84"/>
      <c r="C68" s="28"/>
      <c r="D68" s="28">
        <v>4300</v>
      </c>
      <c r="E68" s="30" t="s">
        <v>162</v>
      </c>
      <c r="F68" s="31">
        <v>17000</v>
      </c>
      <c r="G68" s="282"/>
    </row>
    <row r="69" spans="2:7" s="20" customFormat="1" ht="38.25">
      <c r="B69" s="93">
        <v>751</v>
      </c>
      <c r="C69" s="94"/>
      <c r="D69" s="94"/>
      <c r="E69" s="95" t="s">
        <v>219</v>
      </c>
      <c r="F69" s="91">
        <f>F70</f>
        <v>1053</v>
      </c>
      <c r="G69" s="92"/>
    </row>
    <row r="70" spans="2:7" s="107" customFormat="1" ht="38.25">
      <c r="B70" s="84"/>
      <c r="C70" s="43">
        <v>75101</v>
      </c>
      <c r="D70" s="43"/>
      <c r="E70" s="108" t="s">
        <v>220</v>
      </c>
      <c r="F70" s="24">
        <f>SUM(F71:F71)</f>
        <v>1053</v>
      </c>
      <c r="G70" s="109"/>
    </row>
    <row r="71" spans="2:7" s="20" customFormat="1" ht="20.25" customHeight="1">
      <c r="B71" s="84"/>
      <c r="C71" s="28"/>
      <c r="D71" s="28">
        <v>4300</v>
      </c>
      <c r="E71" s="30" t="s">
        <v>162</v>
      </c>
      <c r="F71" s="31">
        <v>1053</v>
      </c>
      <c r="G71" s="85" t="s">
        <v>191</v>
      </c>
    </row>
    <row r="72" spans="2:7" s="20" customFormat="1" ht="25.5">
      <c r="B72" s="93">
        <v>754</v>
      </c>
      <c r="C72" s="94"/>
      <c r="D72" s="94"/>
      <c r="E72" s="95" t="s">
        <v>63</v>
      </c>
      <c r="F72" s="91">
        <f>F73+F75+F84</f>
        <v>139300</v>
      </c>
      <c r="G72" s="92"/>
    </row>
    <row r="73" spans="2:7" s="20" customFormat="1" ht="12.75">
      <c r="B73" s="84"/>
      <c r="C73" s="21">
        <v>75403</v>
      </c>
      <c r="D73" s="21"/>
      <c r="E73" s="23" t="s">
        <v>221</v>
      </c>
      <c r="F73" s="24">
        <f>SUM(F74:F74)</f>
        <v>2000</v>
      </c>
      <c r="G73" s="87"/>
    </row>
    <row r="74" spans="2:7" s="20" customFormat="1" ht="12.75">
      <c r="B74" s="84"/>
      <c r="C74" s="110"/>
      <c r="D74" s="28">
        <v>4210</v>
      </c>
      <c r="E74" s="30" t="s">
        <v>158</v>
      </c>
      <c r="F74" s="31">
        <v>2000</v>
      </c>
      <c r="G74" s="87" t="s">
        <v>222</v>
      </c>
    </row>
    <row r="75" spans="2:7" s="20" customFormat="1" ht="12.75">
      <c r="B75" s="84"/>
      <c r="C75" s="21">
        <v>75412</v>
      </c>
      <c r="D75" s="21"/>
      <c r="E75" s="23" t="s">
        <v>223</v>
      </c>
      <c r="F75" s="24">
        <f>SUM(F76:F83)</f>
        <v>134800</v>
      </c>
      <c r="G75" s="87"/>
    </row>
    <row r="76" spans="2:7" s="20" customFormat="1" ht="54.75" customHeight="1">
      <c r="B76" s="84"/>
      <c r="C76" s="21"/>
      <c r="D76" s="111">
        <v>6230</v>
      </c>
      <c r="E76" s="112" t="s">
        <v>224</v>
      </c>
      <c r="F76" s="31">
        <f>28000+5000</f>
        <v>33000</v>
      </c>
      <c r="G76" s="87" t="s">
        <v>225</v>
      </c>
    </row>
    <row r="77" spans="2:7" s="20" customFormat="1" ht="25.5">
      <c r="B77" s="84"/>
      <c r="C77" s="28"/>
      <c r="D77" s="28">
        <v>3030</v>
      </c>
      <c r="E77" s="30" t="s">
        <v>194</v>
      </c>
      <c r="F77" s="31">
        <f>19000-4000</f>
        <v>15000</v>
      </c>
      <c r="G77" s="85" t="s">
        <v>226</v>
      </c>
    </row>
    <row r="78" spans="2:7" s="20" customFormat="1" ht="83.25" customHeight="1">
      <c r="B78" s="84"/>
      <c r="C78" s="28"/>
      <c r="D78" s="28">
        <v>4210</v>
      </c>
      <c r="E78" s="30" t="s">
        <v>158</v>
      </c>
      <c r="F78" s="31">
        <v>20000</v>
      </c>
      <c r="G78" s="85" t="s">
        <v>227</v>
      </c>
    </row>
    <row r="79" spans="2:7" s="20" customFormat="1" ht="25.5">
      <c r="B79" s="84"/>
      <c r="C79" s="28"/>
      <c r="D79" s="28">
        <v>4260</v>
      </c>
      <c r="E79" s="30" t="s">
        <v>208</v>
      </c>
      <c r="F79" s="31">
        <v>5000</v>
      </c>
      <c r="G79" s="85" t="s">
        <v>228</v>
      </c>
    </row>
    <row r="80" spans="2:7" s="20" customFormat="1" ht="25.5">
      <c r="B80" s="84"/>
      <c r="C80" s="28"/>
      <c r="D80" s="28">
        <v>4270</v>
      </c>
      <c r="E80" s="30" t="s">
        <v>218</v>
      </c>
      <c r="F80" s="31">
        <f>52000-20000</f>
        <v>32000</v>
      </c>
      <c r="G80" s="85" t="s">
        <v>229</v>
      </c>
    </row>
    <row r="81" spans="2:7" s="20" customFormat="1" ht="25.5">
      <c r="B81" s="84"/>
      <c r="C81" s="28"/>
      <c r="D81" s="28">
        <v>4300</v>
      </c>
      <c r="E81" s="30" t="s">
        <v>162</v>
      </c>
      <c r="F81" s="31">
        <v>10000</v>
      </c>
      <c r="G81" s="85" t="s">
        <v>230</v>
      </c>
    </row>
    <row r="82" spans="2:7" s="20" customFormat="1" ht="12.75">
      <c r="B82" s="84"/>
      <c r="C82" s="28"/>
      <c r="D82" s="28">
        <v>4410</v>
      </c>
      <c r="E82" s="30" t="s">
        <v>198</v>
      </c>
      <c r="F82" s="31">
        <v>800</v>
      </c>
      <c r="G82" s="85" t="s">
        <v>231</v>
      </c>
    </row>
    <row r="83" spans="2:7" s="20" customFormat="1" ht="12.75">
      <c r="B83" s="84"/>
      <c r="C83" s="28"/>
      <c r="D83" s="28">
        <v>4430</v>
      </c>
      <c r="E83" s="30" t="s">
        <v>213</v>
      </c>
      <c r="F83" s="31">
        <v>19000</v>
      </c>
      <c r="G83" s="85" t="s">
        <v>232</v>
      </c>
    </row>
    <row r="84" spans="2:7" s="20" customFormat="1" ht="12.75">
      <c r="B84" s="84"/>
      <c r="C84" s="21">
        <v>75414</v>
      </c>
      <c r="D84" s="21"/>
      <c r="E84" s="23" t="s">
        <v>64</v>
      </c>
      <c r="F84" s="24">
        <f>SUM(F85:F88)</f>
        <v>2500</v>
      </c>
      <c r="G84" s="87"/>
    </row>
    <row r="85" spans="2:7" s="20" customFormat="1" ht="25.5">
      <c r="B85" s="84"/>
      <c r="C85" s="28"/>
      <c r="D85" s="28">
        <v>3030</v>
      </c>
      <c r="E85" s="30" t="s">
        <v>194</v>
      </c>
      <c r="F85" s="31">
        <v>400</v>
      </c>
      <c r="G85" s="281" t="s">
        <v>233</v>
      </c>
    </row>
    <row r="86" spans="2:7" s="20" customFormat="1" ht="12.75">
      <c r="B86" s="84"/>
      <c r="C86" s="28"/>
      <c r="D86" s="28">
        <v>4210</v>
      </c>
      <c r="E86" s="30" t="s">
        <v>158</v>
      </c>
      <c r="F86" s="31">
        <v>1000</v>
      </c>
      <c r="G86" s="283"/>
    </row>
    <row r="87" spans="2:7" s="20" customFormat="1" ht="12.75">
      <c r="B87" s="84"/>
      <c r="C87" s="28"/>
      <c r="D87" s="28">
        <v>4300</v>
      </c>
      <c r="E87" s="30" t="s">
        <v>162</v>
      </c>
      <c r="F87" s="31">
        <v>1000</v>
      </c>
      <c r="G87" s="283"/>
    </row>
    <row r="88" spans="2:7" s="20" customFormat="1" ht="12.75">
      <c r="B88" s="84"/>
      <c r="C88" s="28"/>
      <c r="D88" s="28">
        <v>4410</v>
      </c>
      <c r="E88" s="30" t="s">
        <v>198</v>
      </c>
      <c r="F88" s="31">
        <v>100</v>
      </c>
      <c r="G88" s="282"/>
    </row>
    <row r="89" spans="2:7" s="20" customFormat="1" ht="51">
      <c r="B89" s="93">
        <v>756</v>
      </c>
      <c r="C89" s="94"/>
      <c r="D89" s="94"/>
      <c r="E89" s="95" t="s">
        <v>234</v>
      </c>
      <c r="F89" s="91">
        <f>F90</f>
        <v>33700</v>
      </c>
      <c r="G89" s="92"/>
    </row>
    <row r="90" spans="2:7" s="20" customFormat="1" ht="38.25">
      <c r="B90" s="84"/>
      <c r="C90" s="21">
        <v>75647</v>
      </c>
      <c r="D90" s="21"/>
      <c r="E90" s="23" t="s">
        <v>235</v>
      </c>
      <c r="F90" s="24">
        <f>SUM(F91:F93)</f>
        <v>33700</v>
      </c>
      <c r="G90" s="85"/>
    </row>
    <row r="91" spans="2:7" s="20" customFormat="1" ht="18" customHeight="1">
      <c r="B91" s="84"/>
      <c r="C91" s="28"/>
      <c r="D91" s="28">
        <v>4100</v>
      </c>
      <c r="E91" s="30" t="s">
        <v>236</v>
      </c>
      <c r="F91" s="31">
        <v>31000</v>
      </c>
      <c r="G91" s="85" t="s">
        <v>237</v>
      </c>
    </row>
    <row r="92" spans="2:7" s="20" customFormat="1" ht="18" customHeight="1">
      <c r="B92" s="84"/>
      <c r="C92" s="28"/>
      <c r="D92" s="28">
        <v>4210</v>
      </c>
      <c r="E92" s="30" t="s">
        <v>158</v>
      </c>
      <c r="F92" s="31">
        <v>200</v>
      </c>
      <c r="G92" s="85" t="s">
        <v>238</v>
      </c>
    </row>
    <row r="93" spans="2:7" s="20" customFormat="1" ht="25.5">
      <c r="B93" s="84"/>
      <c r="C93" s="28"/>
      <c r="D93" s="28">
        <v>4610</v>
      </c>
      <c r="E93" s="30" t="s">
        <v>239</v>
      </c>
      <c r="F93" s="31">
        <v>2500</v>
      </c>
      <c r="G93" s="85" t="s">
        <v>240</v>
      </c>
    </row>
    <row r="94" spans="2:7" s="20" customFormat="1" ht="12.75">
      <c r="B94" s="93">
        <v>757</v>
      </c>
      <c r="C94" s="94"/>
      <c r="D94" s="94"/>
      <c r="E94" s="95" t="s">
        <v>241</v>
      </c>
      <c r="F94" s="91">
        <f>F95</f>
        <v>217224</v>
      </c>
      <c r="G94" s="92"/>
    </row>
    <row r="95" spans="2:7" s="20" customFormat="1" ht="38.25">
      <c r="B95" s="84"/>
      <c r="C95" s="21">
        <v>75702</v>
      </c>
      <c r="D95" s="21"/>
      <c r="E95" s="23" t="s">
        <v>242</v>
      </c>
      <c r="F95" s="24">
        <f>SUM(F96:F96)</f>
        <v>217224</v>
      </c>
      <c r="G95" s="113"/>
    </row>
    <row r="96" spans="2:7" s="20" customFormat="1" ht="51">
      <c r="B96" s="84"/>
      <c r="C96" s="28"/>
      <c r="D96" s="28">
        <v>8070</v>
      </c>
      <c r="E96" s="30" t="s">
        <v>243</v>
      </c>
      <c r="F96" s="31">
        <f>7500+4700+160+52364+2500+250000-100000</f>
        <v>217224</v>
      </c>
      <c r="G96" s="113" t="s">
        <v>244</v>
      </c>
    </row>
    <row r="97" spans="2:7" s="20" customFormat="1" ht="12.75">
      <c r="B97" s="93">
        <v>758</v>
      </c>
      <c r="C97" s="94"/>
      <c r="D97" s="94"/>
      <c r="E97" s="95" t="s">
        <v>111</v>
      </c>
      <c r="F97" s="91">
        <f>F98</f>
        <v>80000</v>
      </c>
      <c r="G97" s="92"/>
    </row>
    <row r="98" spans="2:7" s="20" customFormat="1" ht="12.75">
      <c r="B98" s="84"/>
      <c r="C98" s="21">
        <v>75818</v>
      </c>
      <c r="D98" s="21"/>
      <c r="E98" s="23" t="s">
        <v>245</v>
      </c>
      <c r="F98" s="24">
        <f>SUM(F99:F99)</f>
        <v>80000</v>
      </c>
      <c r="G98" s="281" t="s">
        <v>246</v>
      </c>
    </row>
    <row r="99" spans="2:7" s="20" customFormat="1" ht="13.5" customHeight="1">
      <c r="B99" s="84"/>
      <c r="C99" s="28"/>
      <c r="D99" s="28">
        <v>4810</v>
      </c>
      <c r="E99" s="30" t="s">
        <v>247</v>
      </c>
      <c r="F99" s="31">
        <v>80000</v>
      </c>
      <c r="G99" s="282"/>
    </row>
    <row r="100" spans="2:7" s="20" customFormat="1" ht="12.75">
      <c r="B100" s="93">
        <v>801</v>
      </c>
      <c r="C100" s="94"/>
      <c r="D100" s="94"/>
      <c r="E100" s="95" t="s">
        <v>118</v>
      </c>
      <c r="F100" s="91">
        <f>F101+F117+F131+F144+F149+F162+F160</f>
        <v>13189463</v>
      </c>
      <c r="G100" s="92"/>
    </row>
    <row r="101" spans="2:7" s="20" customFormat="1" ht="12.75">
      <c r="B101" s="84"/>
      <c r="C101" s="21">
        <v>80101</v>
      </c>
      <c r="D101" s="21"/>
      <c r="E101" s="23" t="s">
        <v>119</v>
      </c>
      <c r="F101" s="24">
        <f>SUM(F102:F116)</f>
        <v>2891939</v>
      </c>
      <c r="G101" s="87"/>
    </row>
    <row r="102" spans="2:7" s="20" customFormat="1" ht="25.5">
      <c r="B102" s="84"/>
      <c r="C102" s="28"/>
      <c r="D102" s="28">
        <v>3020</v>
      </c>
      <c r="E102" s="30" t="s">
        <v>202</v>
      </c>
      <c r="F102" s="31">
        <v>113200</v>
      </c>
      <c r="G102" s="87" t="s">
        <v>248</v>
      </c>
    </row>
    <row r="103" spans="2:7" s="20" customFormat="1" ht="25.5" hidden="1">
      <c r="B103" s="84"/>
      <c r="C103" s="28"/>
      <c r="D103" s="28">
        <v>3240</v>
      </c>
      <c r="E103" s="30" t="s">
        <v>249</v>
      </c>
      <c r="F103" s="31"/>
      <c r="G103" s="87"/>
    </row>
    <row r="104" spans="2:7" s="20" customFormat="1" ht="25.5">
      <c r="B104" s="84"/>
      <c r="C104" s="28"/>
      <c r="D104" s="28">
        <v>4010</v>
      </c>
      <c r="E104" s="30" t="s">
        <v>190</v>
      </c>
      <c r="F104" s="31">
        <v>1807850</v>
      </c>
      <c r="G104" s="87" t="s">
        <v>250</v>
      </c>
    </row>
    <row r="105" spans="2:7" s="20" customFormat="1" ht="12.75">
      <c r="B105" s="84"/>
      <c r="C105" s="28"/>
      <c r="D105" s="28">
        <v>4040</v>
      </c>
      <c r="E105" s="30" t="s">
        <v>205</v>
      </c>
      <c r="F105" s="31">
        <v>141150</v>
      </c>
      <c r="G105" s="87"/>
    </row>
    <row r="106" spans="2:7" s="20" customFormat="1" ht="12.75">
      <c r="B106" s="84"/>
      <c r="C106" s="28"/>
      <c r="D106" s="28">
        <v>4110</v>
      </c>
      <c r="E106" s="30" t="s">
        <v>192</v>
      </c>
      <c r="F106" s="31">
        <v>353250</v>
      </c>
      <c r="G106" s="87"/>
    </row>
    <row r="107" spans="2:7" s="20" customFormat="1" ht="12.75">
      <c r="B107" s="84"/>
      <c r="C107" s="28"/>
      <c r="D107" s="28">
        <v>4120</v>
      </c>
      <c r="E107" s="30" t="s">
        <v>206</v>
      </c>
      <c r="F107" s="31">
        <v>48200</v>
      </c>
      <c r="G107" s="87"/>
    </row>
    <row r="108" spans="2:7" s="20" customFormat="1" ht="12.75">
      <c r="B108" s="84"/>
      <c r="C108" s="28"/>
      <c r="D108" s="28">
        <v>4210</v>
      </c>
      <c r="E108" s="30" t="s">
        <v>158</v>
      </c>
      <c r="F108" s="31">
        <v>149500</v>
      </c>
      <c r="G108" s="87" t="s">
        <v>251</v>
      </c>
    </row>
    <row r="109" spans="2:7" s="20" customFormat="1" ht="25.5">
      <c r="B109" s="84"/>
      <c r="C109" s="28"/>
      <c r="D109" s="28">
        <v>4240</v>
      </c>
      <c r="E109" s="30" t="s">
        <v>252</v>
      </c>
      <c r="F109" s="31">
        <v>2500</v>
      </c>
      <c r="G109" s="87" t="s">
        <v>253</v>
      </c>
    </row>
    <row r="110" spans="2:7" s="20" customFormat="1" ht="12.75">
      <c r="B110" s="84"/>
      <c r="C110" s="28"/>
      <c r="D110" s="28">
        <v>4260</v>
      </c>
      <c r="E110" s="30" t="s">
        <v>208</v>
      </c>
      <c r="F110" s="31">
        <f>110000-3321</f>
        <v>106679</v>
      </c>
      <c r="G110" s="87" t="s">
        <v>254</v>
      </c>
    </row>
    <row r="111" spans="2:7" s="20" customFormat="1" ht="12.75">
      <c r="B111" s="84"/>
      <c r="C111" s="28"/>
      <c r="D111" s="28">
        <v>4270</v>
      </c>
      <c r="E111" s="30" t="s">
        <v>160</v>
      </c>
      <c r="F111" s="31">
        <v>6000</v>
      </c>
      <c r="G111" s="87" t="s">
        <v>255</v>
      </c>
    </row>
    <row r="112" spans="2:7" s="20" customFormat="1" ht="27" customHeight="1">
      <c r="B112" s="84"/>
      <c r="C112" s="28"/>
      <c r="D112" s="28">
        <v>4300</v>
      </c>
      <c r="E112" s="30" t="s">
        <v>162</v>
      </c>
      <c r="F112" s="31">
        <v>65000</v>
      </c>
      <c r="G112" s="87" t="s">
        <v>256</v>
      </c>
    </row>
    <row r="113" spans="2:7" s="20" customFormat="1" ht="12.75">
      <c r="B113" s="84"/>
      <c r="C113" s="28"/>
      <c r="D113" s="28">
        <v>4410</v>
      </c>
      <c r="E113" s="30" t="s">
        <v>198</v>
      </c>
      <c r="F113" s="31">
        <v>4000</v>
      </c>
      <c r="G113" s="87" t="s">
        <v>257</v>
      </c>
    </row>
    <row r="114" spans="2:7" s="20" customFormat="1" ht="25.5">
      <c r="B114" s="84"/>
      <c r="C114" s="28"/>
      <c r="D114" s="28">
        <v>4440</v>
      </c>
      <c r="E114" s="30" t="s">
        <v>215</v>
      </c>
      <c r="F114" s="31">
        <v>94610</v>
      </c>
      <c r="G114" s="87" t="s">
        <v>258</v>
      </c>
    </row>
    <row r="115" spans="2:7" s="20" customFormat="1" ht="25.5" hidden="1">
      <c r="B115" s="84"/>
      <c r="C115" s="28"/>
      <c r="D115" s="28">
        <v>6050</v>
      </c>
      <c r="E115" s="30" t="s">
        <v>165</v>
      </c>
      <c r="F115" s="31"/>
      <c r="G115" s="114" t="s">
        <v>259</v>
      </c>
    </row>
    <row r="116" spans="2:7" s="20" customFormat="1" ht="25.5" hidden="1">
      <c r="B116" s="84"/>
      <c r="C116" s="28"/>
      <c r="D116" s="28">
        <v>6060</v>
      </c>
      <c r="E116" s="30" t="s">
        <v>260</v>
      </c>
      <c r="F116" s="31"/>
      <c r="G116" s="115" t="s">
        <v>261</v>
      </c>
    </row>
    <row r="117" spans="2:7" s="20" customFormat="1" ht="12.75">
      <c r="B117" s="84"/>
      <c r="C117" s="21">
        <v>80104</v>
      </c>
      <c r="D117" s="21"/>
      <c r="E117" s="23" t="s">
        <v>121</v>
      </c>
      <c r="F117" s="24">
        <f>SUM(F118:F130)</f>
        <v>1055740</v>
      </c>
      <c r="G117" s="87"/>
    </row>
    <row r="118" spans="2:7" s="20" customFormat="1" ht="25.5">
      <c r="B118" s="88"/>
      <c r="C118" s="28"/>
      <c r="D118" s="28">
        <v>2540</v>
      </c>
      <c r="E118" s="30" t="s">
        <v>262</v>
      </c>
      <c r="F118" s="31">
        <v>184000</v>
      </c>
      <c r="G118" s="87" t="s">
        <v>263</v>
      </c>
    </row>
    <row r="119" spans="2:7" s="20" customFormat="1" ht="25.5">
      <c r="B119" s="84"/>
      <c r="C119" s="28"/>
      <c r="D119" s="28">
        <v>3020</v>
      </c>
      <c r="E119" s="30" t="s">
        <v>202</v>
      </c>
      <c r="F119" s="31">
        <v>26200</v>
      </c>
      <c r="G119" s="87" t="s">
        <v>248</v>
      </c>
    </row>
    <row r="120" spans="2:7" s="20" customFormat="1" ht="25.5">
      <c r="B120" s="84"/>
      <c r="C120" s="28"/>
      <c r="D120" s="28">
        <v>4010</v>
      </c>
      <c r="E120" s="30" t="s">
        <v>190</v>
      </c>
      <c r="F120" s="31">
        <v>553300</v>
      </c>
      <c r="G120" s="87" t="s">
        <v>264</v>
      </c>
    </row>
    <row r="121" spans="2:7" s="20" customFormat="1" ht="12.75">
      <c r="B121" s="84"/>
      <c r="C121" s="28"/>
      <c r="D121" s="28">
        <v>4040</v>
      </c>
      <c r="E121" s="30" t="s">
        <v>205</v>
      </c>
      <c r="F121" s="31">
        <v>44650</v>
      </c>
      <c r="G121" s="87"/>
    </row>
    <row r="122" spans="2:7" s="20" customFormat="1" ht="12.75">
      <c r="B122" s="84"/>
      <c r="C122" s="28"/>
      <c r="D122" s="28">
        <v>4110</v>
      </c>
      <c r="E122" s="30" t="s">
        <v>192</v>
      </c>
      <c r="F122" s="31">
        <v>110200</v>
      </c>
      <c r="G122" s="87"/>
    </row>
    <row r="123" spans="2:7" s="20" customFormat="1" ht="12.75">
      <c r="B123" s="84"/>
      <c r="C123" s="28"/>
      <c r="D123" s="28">
        <v>4120</v>
      </c>
      <c r="E123" s="30" t="s">
        <v>206</v>
      </c>
      <c r="F123" s="31">
        <v>15150</v>
      </c>
      <c r="G123" s="87"/>
    </row>
    <row r="124" spans="2:7" s="20" customFormat="1" ht="12.75">
      <c r="B124" s="84"/>
      <c r="C124" s="28"/>
      <c r="D124" s="28">
        <v>4210</v>
      </c>
      <c r="E124" s="30" t="s">
        <v>158</v>
      </c>
      <c r="F124" s="31">
        <v>23500</v>
      </c>
      <c r="G124" s="87" t="s">
        <v>265</v>
      </c>
    </row>
    <row r="125" spans="2:7" s="20" customFormat="1" ht="25.5">
      <c r="B125" s="84"/>
      <c r="C125" s="28"/>
      <c r="D125" s="28">
        <v>4240</v>
      </c>
      <c r="E125" s="30" t="s">
        <v>252</v>
      </c>
      <c r="F125" s="31">
        <v>2500</v>
      </c>
      <c r="G125" s="87" t="s">
        <v>266</v>
      </c>
    </row>
    <row r="126" spans="2:7" s="20" customFormat="1" ht="12.75">
      <c r="B126" s="84"/>
      <c r="C126" s="28"/>
      <c r="D126" s="28">
        <v>4260</v>
      </c>
      <c r="E126" s="30" t="s">
        <v>208</v>
      </c>
      <c r="F126" s="31">
        <v>47500</v>
      </c>
      <c r="G126" s="87" t="s">
        <v>267</v>
      </c>
    </row>
    <row r="127" spans="2:7" s="20" customFormat="1" ht="12.75" customHeight="1">
      <c r="B127" s="84"/>
      <c r="C127" s="28"/>
      <c r="D127" s="28">
        <v>4270</v>
      </c>
      <c r="E127" s="30" t="s">
        <v>160</v>
      </c>
      <c r="F127" s="31">
        <v>6000</v>
      </c>
      <c r="G127" s="87" t="s">
        <v>268</v>
      </c>
    </row>
    <row r="128" spans="2:7" s="20" customFormat="1" ht="25.5">
      <c r="B128" s="84"/>
      <c r="C128" s="28"/>
      <c r="D128" s="28">
        <v>4300</v>
      </c>
      <c r="E128" s="30" t="s">
        <v>162</v>
      </c>
      <c r="F128" s="31">
        <v>11500</v>
      </c>
      <c r="G128" s="87" t="s">
        <v>269</v>
      </c>
    </row>
    <row r="129" spans="2:7" s="20" customFormat="1" ht="12.75">
      <c r="B129" s="84"/>
      <c r="C129" s="28"/>
      <c r="D129" s="28">
        <v>4410</v>
      </c>
      <c r="E129" s="30" t="s">
        <v>198</v>
      </c>
      <c r="F129" s="31">
        <v>2000</v>
      </c>
      <c r="G129" s="87" t="s">
        <v>270</v>
      </c>
    </row>
    <row r="130" spans="2:7" s="20" customFormat="1" ht="25.5">
      <c r="B130" s="84"/>
      <c r="C130" s="28"/>
      <c r="D130" s="28">
        <v>4440</v>
      </c>
      <c r="E130" s="30" t="s">
        <v>215</v>
      </c>
      <c r="F130" s="31">
        <v>29240</v>
      </c>
      <c r="G130" s="87" t="s">
        <v>258</v>
      </c>
    </row>
    <row r="131" spans="2:7" s="20" customFormat="1" ht="12.75">
      <c r="B131" s="84"/>
      <c r="C131" s="21">
        <v>80110</v>
      </c>
      <c r="D131" s="21"/>
      <c r="E131" s="23" t="s">
        <v>125</v>
      </c>
      <c r="F131" s="24">
        <f>SUM(F132:F143)</f>
        <v>8748356</v>
      </c>
      <c r="G131" s="87"/>
    </row>
    <row r="132" spans="2:7" s="20" customFormat="1" ht="25.5">
      <c r="B132" s="84"/>
      <c r="C132" s="21"/>
      <c r="D132" s="28">
        <v>3020</v>
      </c>
      <c r="E132" s="30" t="s">
        <v>202</v>
      </c>
      <c r="F132" s="31">
        <v>68500</v>
      </c>
      <c r="G132" s="87" t="s">
        <v>248</v>
      </c>
    </row>
    <row r="133" spans="2:7" s="20" customFormat="1" ht="25.5">
      <c r="B133" s="84"/>
      <c r="C133" s="21"/>
      <c r="D133" s="28">
        <v>4010</v>
      </c>
      <c r="E133" s="30" t="s">
        <v>190</v>
      </c>
      <c r="F133" s="31">
        <v>851700</v>
      </c>
      <c r="G133" s="87" t="s">
        <v>271</v>
      </c>
    </row>
    <row r="134" spans="2:7" s="20" customFormat="1" ht="12.75">
      <c r="B134" s="84"/>
      <c r="C134" s="21"/>
      <c r="D134" s="28">
        <v>4040</v>
      </c>
      <c r="E134" s="30" t="s">
        <v>205</v>
      </c>
      <c r="F134" s="31">
        <v>70550</v>
      </c>
      <c r="G134" s="87"/>
    </row>
    <row r="135" spans="2:7" s="20" customFormat="1" ht="12.75">
      <c r="B135" s="84"/>
      <c r="C135" s="21"/>
      <c r="D135" s="28">
        <v>4110</v>
      </c>
      <c r="E135" s="30" t="s">
        <v>192</v>
      </c>
      <c r="F135" s="31">
        <v>178650</v>
      </c>
      <c r="G135" s="87"/>
    </row>
    <row r="136" spans="2:7" s="20" customFormat="1" ht="12.75">
      <c r="B136" s="84"/>
      <c r="C136" s="21"/>
      <c r="D136" s="28">
        <v>4120</v>
      </c>
      <c r="E136" s="30" t="s">
        <v>206</v>
      </c>
      <c r="F136" s="31">
        <v>24400</v>
      </c>
      <c r="G136" s="87"/>
    </row>
    <row r="137" spans="2:7" s="20" customFormat="1" ht="12.75">
      <c r="B137" s="84"/>
      <c r="C137" s="21"/>
      <c r="D137" s="28">
        <v>4210</v>
      </c>
      <c r="E137" s="30" t="s">
        <v>158</v>
      </c>
      <c r="F137" s="31">
        <v>6000</v>
      </c>
      <c r="G137" s="87" t="s">
        <v>272</v>
      </c>
    </row>
    <row r="138" spans="2:7" s="20" customFormat="1" ht="25.5">
      <c r="B138" s="84"/>
      <c r="C138" s="21"/>
      <c r="D138" s="28">
        <v>4240</v>
      </c>
      <c r="E138" s="30" t="s">
        <v>252</v>
      </c>
      <c r="F138" s="31">
        <v>1000</v>
      </c>
      <c r="G138" s="87" t="s">
        <v>273</v>
      </c>
    </row>
    <row r="139" spans="2:7" s="20" customFormat="1" ht="12.75">
      <c r="B139" s="84"/>
      <c r="C139" s="21"/>
      <c r="D139" s="28">
        <v>4300</v>
      </c>
      <c r="E139" s="30" t="s">
        <v>162</v>
      </c>
      <c r="F139" s="31">
        <v>15000</v>
      </c>
      <c r="G139" s="87" t="s">
        <v>274</v>
      </c>
    </row>
    <row r="140" spans="2:7" s="20" customFormat="1" ht="12.75">
      <c r="B140" s="84"/>
      <c r="C140" s="21"/>
      <c r="D140" s="28">
        <v>4410</v>
      </c>
      <c r="E140" s="30" t="s">
        <v>198</v>
      </c>
      <c r="F140" s="31">
        <v>1000</v>
      </c>
      <c r="G140" s="87" t="s">
        <v>270</v>
      </c>
    </row>
    <row r="141" spans="2:7" s="20" customFormat="1" ht="25.5">
      <c r="B141" s="84"/>
      <c r="C141" s="21"/>
      <c r="D141" s="28">
        <v>4440</v>
      </c>
      <c r="E141" s="30" t="s">
        <v>215</v>
      </c>
      <c r="F141" s="31">
        <v>51400</v>
      </c>
      <c r="G141" s="87" t="s">
        <v>258</v>
      </c>
    </row>
    <row r="142" spans="2:7" s="20" customFormat="1" ht="25.5">
      <c r="B142" s="84"/>
      <c r="C142" s="21"/>
      <c r="D142" s="28">
        <v>6058</v>
      </c>
      <c r="E142" s="30" t="s">
        <v>165</v>
      </c>
      <c r="F142" s="31">
        <v>1470337</v>
      </c>
      <c r="G142" s="87" t="s">
        <v>275</v>
      </c>
    </row>
    <row r="143" spans="2:7" s="20" customFormat="1" ht="25.5">
      <c r="B143" s="84"/>
      <c r="C143" s="21"/>
      <c r="D143" s="28">
        <v>6059</v>
      </c>
      <c r="E143" s="30" t="s">
        <v>165</v>
      </c>
      <c r="F143" s="31">
        <f>5302781+707038</f>
        <v>6009819</v>
      </c>
      <c r="G143" s="87" t="s">
        <v>276</v>
      </c>
    </row>
    <row r="144" spans="2:7" s="20" customFormat="1" ht="12.75">
      <c r="B144" s="84"/>
      <c r="C144" s="21">
        <v>80113</v>
      </c>
      <c r="D144" s="21"/>
      <c r="E144" s="23" t="s">
        <v>130</v>
      </c>
      <c r="F144" s="24">
        <f>SUM(F145:F148)</f>
        <v>286000</v>
      </c>
      <c r="G144" s="87"/>
    </row>
    <row r="145" spans="2:7" s="20" customFormat="1" ht="25.5">
      <c r="B145" s="84"/>
      <c r="C145" s="21"/>
      <c r="D145" s="28">
        <v>4010</v>
      </c>
      <c r="E145" s="30" t="s">
        <v>190</v>
      </c>
      <c r="F145" s="31">
        <v>30600</v>
      </c>
      <c r="G145" s="281" t="s">
        <v>277</v>
      </c>
    </row>
    <row r="146" spans="2:7" s="20" customFormat="1" ht="12.75">
      <c r="B146" s="84"/>
      <c r="C146" s="21"/>
      <c r="D146" s="28">
        <v>4110</v>
      </c>
      <c r="E146" s="30" t="s">
        <v>192</v>
      </c>
      <c r="F146" s="31">
        <v>5550</v>
      </c>
      <c r="G146" s="283"/>
    </row>
    <row r="147" spans="2:7" s="20" customFormat="1" ht="12.75">
      <c r="B147" s="84"/>
      <c r="C147" s="21"/>
      <c r="D147" s="28">
        <v>4120</v>
      </c>
      <c r="E147" s="30" t="s">
        <v>206</v>
      </c>
      <c r="F147" s="31">
        <v>800</v>
      </c>
      <c r="G147" s="282"/>
    </row>
    <row r="148" spans="2:7" s="20" customFormat="1" ht="12.75">
      <c r="B148" s="84"/>
      <c r="C148" s="28"/>
      <c r="D148" s="28">
        <v>4300</v>
      </c>
      <c r="E148" s="30" t="s">
        <v>162</v>
      </c>
      <c r="F148" s="31">
        <v>249050</v>
      </c>
      <c r="G148" s="87" t="s">
        <v>278</v>
      </c>
    </row>
    <row r="149" spans="2:7" s="20" customFormat="1" ht="25.5">
      <c r="B149" s="84"/>
      <c r="C149" s="21">
        <v>80114</v>
      </c>
      <c r="D149" s="21"/>
      <c r="E149" s="23" t="s">
        <v>279</v>
      </c>
      <c r="F149" s="24">
        <f>SUM(F150:F159)</f>
        <v>156000</v>
      </c>
      <c r="G149" s="87"/>
    </row>
    <row r="150" spans="2:7" s="20" customFormat="1" ht="25.5">
      <c r="B150" s="84"/>
      <c r="C150" s="28"/>
      <c r="D150" s="28">
        <v>3020</v>
      </c>
      <c r="E150" s="30" t="s">
        <v>202</v>
      </c>
      <c r="F150" s="31">
        <v>450</v>
      </c>
      <c r="G150" s="87" t="s">
        <v>280</v>
      </c>
    </row>
    <row r="151" spans="2:7" s="20" customFormat="1" ht="25.5">
      <c r="B151" s="84"/>
      <c r="C151" s="28"/>
      <c r="D151" s="28">
        <v>4010</v>
      </c>
      <c r="E151" s="30" t="s">
        <v>190</v>
      </c>
      <c r="F151" s="31">
        <v>103000</v>
      </c>
      <c r="G151" s="87"/>
    </row>
    <row r="152" spans="2:7" s="20" customFormat="1" ht="12.75">
      <c r="B152" s="84"/>
      <c r="C152" s="28"/>
      <c r="D152" s="28">
        <v>4040</v>
      </c>
      <c r="E152" s="30" t="s">
        <v>205</v>
      </c>
      <c r="F152" s="31">
        <v>8000</v>
      </c>
      <c r="G152" s="87"/>
    </row>
    <row r="153" spans="2:7" s="20" customFormat="1" ht="12.75">
      <c r="B153" s="84"/>
      <c r="C153" s="28"/>
      <c r="D153" s="28">
        <v>4110</v>
      </c>
      <c r="E153" s="30" t="s">
        <v>192</v>
      </c>
      <c r="F153" s="31">
        <v>20000</v>
      </c>
      <c r="G153" s="87"/>
    </row>
    <row r="154" spans="2:7" s="20" customFormat="1" ht="12.75">
      <c r="B154" s="84"/>
      <c r="C154" s="28"/>
      <c r="D154" s="28">
        <v>4120</v>
      </c>
      <c r="E154" s="30" t="s">
        <v>206</v>
      </c>
      <c r="F154" s="31">
        <v>2800</v>
      </c>
      <c r="G154" s="87"/>
    </row>
    <row r="155" spans="2:7" s="20" customFormat="1" ht="25.5">
      <c r="B155" s="84"/>
      <c r="C155" s="28"/>
      <c r="D155" s="28">
        <v>4210</v>
      </c>
      <c r="E155" s="30" t="s">
        <v>158</v>
      </c>
      <c r="F155" s="31">
        <v>5400</v>
      </c>
      <c r="G155" s="87" t="s">
        <v>281</v>
      </c>
    </row>
    <row r="156" spans="2:7" s="20" customFormat="1" ht="12.75">
      <c r="B156" s="84"/>
      <c r="C156" s="28"/>
      <c r="D156" s="28">
        <v>4270</v>
      </c>
      <c r="E156" s="30" t="s">
        <v>160</v>
      </c>
      <c r="F156" s="31">
        <v>3000</v>
      </c>
      <c r="G156" s="87" t="s">
        <v>282</v>
      </c>
    </row>
    <row r="157" spans="2:7" s="20" customFormat="1" ht="25.5">
      <c r="B157" s="84"/>
      <c r="C157" s="28"/>
      <c r="D157" s="28">
        <v>4300</v>
      </c>
      <c r="E157" s="30" t="s">
        <v>162</v>
      </c>
      <c r="F157" s="31">
        <v>10000</v>
      </c>
      <c r="G157" s="87" t="s">
        <v>283</v>
      </c>
    </row>
    <row r="158" spans="2:7" s="20" customFormat="1" ht="12.75">
      <c r="B158" s="84"/>
      <c r="C158" s="28"/>
      <c r="D158" s="28">
        <v>4410</v>
      </c>
      <c r="E158" s="30" t="s">
        <v>198</v>
      </c>
      <c r="F158" s="31">
        <v>500</v>
      </c>
      <c r="G158" s="87" t="s">
        <v>284</v>
      </c>
    </row>
    <row r="159" spans="2:7" s="20" customFormat="1" ht="25.5">
      <c r="B159" s="84"/>
      <c r="C159" s="28"/>
      <c r="D159" s="28">
        <v>4440</v>
      </c>
      <c r="E159" s="30" t="s">
        <v>215</v>
      </c>
      <c r="F159" s="31">
        <v>2850</v>
      </c>
      <c r="G159" s="87" t="s">
        <v>258</v>
      </c>
    </row>
    <row r="160" spans="2:7" s="20" customFormat="1" ht="25.5" customHeight="1">
      <c r="B160" s="84"/>
      <c r="C160" s="21">
        <v>80146</v>
      </c>
      <c r="D160" s="21"/>
      <c r="E160" s="23" t="s">
        <v>285</v>
      </c>
      <c r="F160" s="24">
        <f>F161</f>
        <v>22700</v>
      </c>
      <c r="G160" s="281" t="s">
        <v>286</v>
      </c>
    </row>
    <row r="161" spans="2:7" s="20" customFormat="1" ht="29.25" customHeight="1">
      <c r="B161" s="84"/>
      <c r="C161" s="28"/>
      <c r="D161" s="28">
        <v>4300</v>
      </c>
      <c r="E161" s="30" t="s">
        <v>162</v>
      </c>
      <c r="F161" s="31">
        <v>22700</v>
      </c>
      <c r="G161" s="282"/>
    </row>
    <row r="162" spans="2:7" s="20" customFormat="1" ht="12.75">
      <c r="B162" s="84"/>
      <c r="C162" s="21">
        <v>80195</v>
      </c>
      <c r="D162" s="21"/>
      <c r="E162" s="23" t="s">
        <v>23</v>
      </c>
      <c r="F162" s="24">
        <f>SUM(F163)</f>
        <v>28728</v>
      </c>
      <c r="G162" s="87"/>
    </row>
    <row r="163" spans="2:7" s="20" customFormat="1" ht="25.5">
      <c r="B163" s="84"/>
      <c r="C163" s="28"/>
      <c r="D163" s="28">
        <v>4440</v>
      </c>
      <c r="E163" s="30" t="s">
        <v>215</v>
      </c>
      <c r="F163" s="31">
        <v>28728</v>
      </c>
      <c r="G163" s="87" t="s">
        <v>287</v>
      </c>
    </row>
    <row r="164" spans="2:7" s="20" customFormat="1" ht="12.75">
      <c r="B164" s="93">
        <v>851</v>
      </c>
      <c r="C164" s="116"/>
      <c r="D164" s="116"/>
      <c r="E164" s="95" t="s">
        <v>288</v>
      </c>
      <c r="F164" s="91">
        <f>F165+F171</f>
        <v>112000</v>
      </c>
      <c r="G164" s="92"/>
    </row>
    <row r="165" spans="2:7" s="20" customFormat="1" ht="12.75">
      <c r="B165" s="84"/>
      <c r="C165" s="21">
        <v>85154</v>
      </c>
      <c r="D165" s="21"/>
      <c r="E165" s="23" t="s">
        <v>289</v>
      </c>
      <c r="F165" s="24">
        <f>SUM(F166:F170)</f>
        <v>70000</v>
      </c>
      <c r="G165" s="117"/>
    </row>
    <row r="166" spans="2:7" s="20" customFormat="1" ht="12.75">
      <c r="B166" s="84"/>
      <c r="C166" s="28"/>
      <c r="D166" s="28">
        <v>4210</v>
      </c>
      <c r="E166" s="30" t="s">
        <v>158</v>
      </c>
      <c r="F166" s="31">
        <v>21000</v>
      </c>
      <c r="G166" s="281" t="s">
        <v>290</v>
      </c>
    </row>
    <row r="167" spans="2:7" s="20" customFormat="1" ht="12.75">
      <c r="B167" s="84"/>
      <c r="C167" s="28"/>
      <c r="D167" s="28">
        <v>4260</v>
      </c>
      <c r="E167" s="30" t="s">
        <v>208</v>
      </c>
      <c r="F167" s="31">
        <v>5000</v>
      </c>
      <c r="G167" s="283"/>
    </row>
    <row r="168" spans="2:7" s="20" customFormat="1" ht="12.75">
      <c r="B168" s="84"/>
      <c r="C168" s="28"/>
      <c r="D168" s="28">
        <v>4270</v>
      </c>
      <c r="E168" s="30" t="s">
        <v>160</v>
      </c>
      <c r="F168" s="31">
        <v>1000</v>
      </c>
      <c r="G168" s="283"/>
    </row>
    <row r="169" spans="2:7" s="20" customFormat="1" ht="12.75">
      <c r="B169" s="84"/>
      <c r="C169" s="28"/>
      <c r="D169" s="28">
        <v>4300</v>
      </c>
      <c r="E169" s="30" t="s">
        <v>162</v>
      </c>
      <c r="F169" s="31">
        <v>42000</v>
      </c>
      <c r="G169" s="283"/>
    </row>
    <row r="170" spans="2:7" s="20" customFormat="1" ht="12.75">
      <c r="B170" s="84"/>
      <c r="C170" s="28"/>
      <c r="D170" s="28">
        <v>4410</v>
      </c>
      <c r="E170" s="30" t="s">
        <v>198</v>
      </c>
      <c r="F170" s="31">
        <v>1000</v>
      </c>
      <c r="G170" s="282"/>
    </row>
    <row r="171" spans="2:7" s="20" customFormat="1" ht="12.75">
      <c r="B171" s="84"/>
      <c r="C171" s="21">
        <v>85195</v>
      </c>
      <c r="D171" s="21"/>
      <c r="E171" s="23" t="s">
        <v>23</v>
      </c>
      <c r="F171" s="24">
        <f>F172</f>
        <v>42000</v>
      </c>
      <c r="G171" s="86"/>
    </row>
    <row r="172" spans="2:7" s="20" customFormat="1" ht="63.75">
      <c r="B172" s="84"/>
      <c r="C172" s="21"/>
      <c r="D172" s="40">
        <v>2710</v>
      </c>
      <c r="E172" s="41" t="s">
        <v>291</v>
      </c>
      <c r="F172" s="31">
        <v>42000</v>
      </c>
      <c r="G172" s="87" t="s">
        <v>292</v>
      </c>
    </row>
    <row r="173" spans="2:7" s="20" customFormat="1" ht="12.75">
      <c r="B173" s="93">
        <v>852</v>
      </c>
      <c r="C173" s="116"/>
      <c r="D173" s="116"/>
      <c r="E173" s="95" t="s">
        <v>134</v>
      </c>
      <c r="F173" s="91">
        <f>F180+F182+F185+F187+F189+F203+F207+F174</f>
        <v>2027120</v>
      </c>
      <c r="G173" s="92"/>
    </row>
    <row r="174" spans="2:7" s="45" customFormat="1" ht="51">
      <c r="B174" s="100"/>
      <c r="C174" s="118">
        <v>85212</v>
      </c>
      <c r="D174" s="46"/>
      <c r="E174" s="23" t="s">
        <v>135</v>
      </c>
      <c r="F174" s="42">
        <f>SUM(F175:F179)</f>
        <v>1057000</v>
      </c>
      <c r="G174" s="90"/>
    </row>
    <row r="175" spans="2:7" s="45" customFormat="1" ht="12.75">
      <c r="B175" s="100"/>
      <c r="C175" s="46"/>
      <c r="D175" s="28">
        <v>3110</v>
      </c>
      <c r="E175" s="30" t="s">
        <v>293</v>
      </c>
      <c r="F175" s="47">
        <v>1035860</v>
      </c>
      <c r="G175" s="90"/>
    </row>
    <row r="176" spans="2:7" s="45" customFormat="1" ht="25.5">
      <c r="B176" s="100"/>
      <c r="C176" s="46"/>
      <c r="D176" s="28">
        <v>4010</v>
      </c>
      <c r="E176" s="30" t="s">
        <v>190</v>
      </c>
      <c r="F176" s="47">
        <v>13163</v>
      </c>
      <c r="G176" s="90"/>
    </row>
    <row r="177" spans="2:7" s="45" customFormat="1" ht="12.75">
      <c r="B177" s="100"/>
      <c r="C177" s="46"/>
      <c r="D177" s="28">
        <v>4110</v>
      </c>
      <c r="E177" s="30" t="s">
        <v>192</v>
      </c>
      <c r="F177" s="47">
        <v>2269</v>
      </c>
      <c r="G177" s="90"/>
    </row>
    <row r="178" spans="2:7" s="45" customFormat="1" ht="12.75">
      <c r="B178" s="100"/>
      <c r="C178" s="46"/>
      <c r="D178" s="28">
        <v>4210</v>
      </c>
      <c r="E178" s="30" t="s">
        <v>158</v>
      </c>
      <c r="F178" s="47">
        <v>300</v>
      </c>
      <c r="G178" s="90"/>
    </row>
    <row r="179" spans="2:7" s="45" customFormat="1" ht="12.75">
      <c r="B179" s="100"/>
      <c r="C179" s="46"/>
      <c r="D179" s="28">
        <v>4300</v>
      </c>
      <c r="E179" s="30" t="s">
        <v>162</v>
      </c>
      <c r="F179" s="47">
        <v>5408</v>
      </c>
      <c r="G179" s="90"/>
    </row>
    <row r="180" spans="2:7" s="45" customFormat="1" ht="63.75">
      <c r="B180" s="100"/>
      <c r="C180" s="21">
        <v>85213</v>
      </c>
      <c r="D180" s="21"/>
      <c r="E180" s="23" t="s">
        <v>136</v>
      </c>
      <c r="F180" s="24">
        <f>F181</f>
        <v>12900</v>
      </c>
      <c r="G180" s="90"/>
    </row>
    <row r="181" spans="2:7" s="45" customFormat="1" ht="25.5">
      <c r="B181" s="100"/>
      <c r="C181" s="46"/>
      <c r="D181" s="28">
        <v>4130</v>
      </c>
      <c r="E181" s="30" t="s">
        <v>294</v>
      </c>
      <c r="F181" s="47">
        <v>12900</v>
      </c>
      <c r="G181" s="90" t="s">
        <v>295</v>
      </c>
    </row>
    <row r="182" spans="2:7" s="20" customFormat="1" ht="38.25">
      <c r="B182" s="84"/>
      <c r="C182" s="21">
        <v>85214</v>
      </c>
      <c r="D182" s="21"/>
      <c r="E182" s="23" t="s">
        <v>137</v>
      </c>
      <c r="F182" s="24">
        <f>F183+F184</f>
        <v>268400</v>
      </c>
      <c r="G182" s="87"/>
    </row>
    <row r="183" spans="2:7" s="20" customFormat="1" ht="12.75">
      <c r="B183" s="84"/>
      <c r="C183" s="28"/>
      <c r="D183" s="28">
        <v>3110</v>
      </c>
      <c r="E183" s="30" t="s">
        <v>293</v>
      </c>
      <c r="F183" s="31">
        <f>60100+205000</f>
        <v>265100</v>
      </c>
      <c r="G183" s="87" t="s">
        <v>296</v>
      </c>
    </row>
    <row r="184" spans="2:7" s="20" customFormat="1" ht="25.5">
      <c r="B184" s="84"/>
      <c r="C184" s="28"/>
      <c r="D184" s="28">
        <v>4110</v>
      </c>
      <c r="E184" s="30" t="s">
        <v>297</v>
      </c>
      <c r="F184" s="31">
        <v>3300</v>
      </c>
      <c r="G184" s="87" t="s">
        <v>298</v>
      </c>
    </row>
    <row r="185" spans="2:7" s="20" customFormat="1" ht="12.75">
      <c r="B185" s="84"/>
      <c r="C185" s="21">
        <v>85215</v>
      </c>
      <c r="D185" s="21"/>
      <c r="E185" s="23" t="s">
        <v>299</v>
      </c>
      <c r="F185" s="24">
        <f>SUM(F186)</f>
        <v>260000</v>
      </c>
      <c r="G185" s="87"/>
    </row>
    <row r="186" spans="2:7" s="20" customFormat="1" ht="38.25">
      <c r="B186" s="84"/>
      <c r="C186" s="28"/>
      <c r="D186" s="28">
        <v>3110</v>
      </c>
      <c r="E186" s="30" t="s">
        <v>293</v>
      </c>
      <c r="F186" s="31">
        <v>260000</v>
      </c>
      <c r="G186" s="87" t="s">
        <v>300</v>
      </c>
    </row>
    <row r="187" spans="2:7" s="20" customFormat="1" ht="25.5" hidden="1">
      <c r="B187" s="84"/>
      <c r="C187" s="21">
        <v>85216</v>
      </c>
      <c r="D187" s="21"/>
      <c r="E187" s="23" t="s">
        <v>139</v>
      </c>
      <c r="F187" s="24">
        <f>SUM(F188)</f>
        <v>0</v>
      </c>
      <c r="G187" s="87"/>
    </row>
    <row r="188" spans="2:7" s="20" customFormat="1" ht="12.75" hidden="1">
      <c r="B188" s="84"/>
      <c r="C188" s="28"/>
      <c r="D188" s="28">
        <v>3110</v>
      </c>
      <c r="E188" s="30" t="s">
        <v>293</v>
      </c>
      <c r="F188" s="31"/>
      <c r="G188" s="87"/>
    </row>
    <row r="189" spans="2:7" s="20" customFormat="1" ht="12.75">
      <c r="B189" s="84"/>
      <c r="C189" s="21">
        <v>85219</v>
      </c>
      <c r="D189" s="21"/>
      <c r="E189" s="23" t="s">
        <v>140</v>
      </c>
      <c r="F189" s="24">
        <f>SUM(F190:F202)</f>
        <v>372100</v>
      </c>
      <c r="G189" s="87" t="s">
        <v>301</v>
      </c>
    </row>
    <row r="190" spans="2:7" s="20" customFormat="1" ht="25.5">
      <c r="B190" s="84"/>
      <c r="C190" s="28"/>
      <c r="D190" s="28">
        <v>3020</v>
      </c>
      <c r="E190" s="30" t="s">
        <v>202</v>
      </c>
      <c r="F190" s="31">
        <v>5000</v>
      </c>
      <c r="G190" s="87" t="s">
        <v>302</v>
      </c>
    </row>
    <row r="191" spans="2:7" s="20" customFormat="1" ht="25.5">
      <c r="B191" s="84"/>
      <c r="C191" s="28"/>
      <c r="D191" s="28">
        <v>4010</v>
      </c>
      <c r="E191" s="30" t="s">
        <v>190</v>
      </c>
      <c r="F191" s="31">
        <v>227900</v>
      </c>
      <c r="G191" s="87"/>
    </row>
    <row r="192" spans="2:7" s="20" customFormat="1" ht="12.75">
      <c r="B192" s="84"/>
      <c r="C192" s="28"/>
      <c r="D192" s="28">
        <v>4040</v>
      </c>
      <c r="E192" s="30" t="s">
        <v>205</v>
      </c>
      <c r="F192" s="31">
        <v>16000</v>
      </c>
      <c r="G192" s="87"/>
    </row>
    <row r="193" spans="2:7" s="20" customFormat="1" ht="12.75">
      <c r="B193" s="84"/>
      <c r="C193" s="28"/>
      <c r="D193" s="28">
        <v>4110</v>
      </c>
      <c r="E193" s="30" t="s">
        <v>192</v>
      </c>
      <c r="F193" s="31">
        <v>44400</v>
      </c>
      <c r="G193" s="87"/>
    </row>
    <row r="194" spans="2:7" s="20" customFormat="1" ht="12.75">
      <c r="B194" s="84"/>
      <c r="C194" s="28"/>
      <c r="D194" s="28">
        <v>4120</v>
      </c>
      <c r="E194" s="30" t="s">
        <v>303</v>
      </c>
      <c r="F194" s="31">
        <v>5900</v>
      </c>
      <c r="G194" s="87"/>
    </row>
    <row r="195" spans="2:7" s="20" customFormat="1" ht="12.75">
      <c r="B195" s="84"/>
      <c r="C195" s="28"/>
      <c r="D195" s="28">
        <v>4170</v>
      </c>
      <c r="E195" s="30" t="s">
        <v>304</v>
      </c>
      <c r="F195" s="31">
        <v>8000</v>
      </c>
      <c r="G195" s="87" t="s">
        <v>305</v>
      </c>
    </row>
    <row r="196" spans="2:7" s="20" customFormat="1" ht="25.5">
      <c r="B196" s="84"/>
      <c r="C196" s="28"/>
      <c r="D196" s="28">
        <v>4210</v>
      </c>
      <c r="E196" s="30" t="s">
        <v>158</v>
      </c>
      <c r="F196" s="31">
        <v>13000</v>
      </c>
      <c r="G196" s="87" t="s">
        <v>306</v>
      </c>
    </row>
    <row r="197" spans="2:7" s="20" customFormat="1" ht="12.75">
      <c r="B197" s="84"/>
      <c r="C197" s="28"/>
      <c r="D197" s="28">
        <v>4260</v>
      </c>
      <c r="E197" s="30" t="s">
        <v>208</v>
      </c>
      <c r="F197" s="31">
        <v>8000</v>
      </c>
      <c r="G197" s="87" t="s">
        <v>307</v>
      </c>
    </row>
    <row r="198" spans="2:7" s="20" customFormat="1" ht="12.75">
      <c r="B198" s="84"/>
      <c r="C198" s="28"/>
      <c r="D198" s="28">
        <v>4270</v>
      </c>
      <c r="E198" s="30" t="s">
        <v>218</v>
      </c>
      <c r="F198" s="31">
        <v>2000</v>
      </c>
      <c r="G198" s="87" t="s">
        <v>308</v>
      </c>
    </row>
    <row r="199" spans="2:7" s="20" customFormat="1" ht="25.5">
      <c r="B199" s="84"/>
      <c r="C199" s="28"/>
      <c r="D199" s="28">
        <v>4300</v>
      </c>
      <c r="E199" s="30" t="s">
        <v>162</v>
      </c>
      <c r="F199" s="31">
        <v>25000</v>
      </c>
      <c r="G199" s="87" t="s">
        <v>309</v>
      </c>
    </row>
    <row r="200" spans="2:7" s="20" customFormat="1" ht="12.75">
      <c r="B200" s="84"/>
      <c r="C200" s="28"/>
      <c r="D200" s="28">
        <v>4410</v>
      </c>
      <c r="E200" s="30" t="s">
        <v>198</v>
      </c>
      <c r="F200" s="31">
        <v>10000</v>
      </c>
      <c r="G200" s="87" t="s">
        <v>310</v>
      </c>
    </row>
    <row r="201" spans="2:7" s="20" customFormat="1" ht="12.75">
      <c r="B201" s="84"/>
      <c r="C201" s="28"/>
      <c r="D201" s="28">
        <v>4430</v>
      </c>
      <c r="E201" s="30" t="s">
        <v>213</v>
      </c>
      <c r="F201" s="31">
        <v>600</v>
      </c>
      <c r="G201" s="87" t="s">
        <v>311</v>
      </c>
    </row>
    <row r="202" spans="2:7" s="20" customFormat="1" ht="25.5">
      <c r="B202" s="84"/>
      <c r="C202" s="28"/>
      <c r="D202" s="28">
        <v>4440</v>
      </c>
      <c r="E202" s="30" t="s">
        <v>215</v>
      </c>
      <c r="F202" s="31">
        <v>6300</v>
      </c>
      <c r="G202" s="87"/>
    </row>
    <row r="203" spans="2:7" s="20" customFormat="1" ht="25.5">
      <c r="B203" s="84"/>
      <c r="C203" s="21">
        <v>85228</v>
      </c>
      <c r="D203" s="21"/>
      <c r="E203" s="23" t="s">
        <v>312</v>
      </c>
      <c r="F203" s="24">
        <f>SUM(F204:F206)</f>
        <v>21720</v>
      </c>
      <c r="G203" s="87" t="s">
        <v>313</v>
      </c>
    </row>
    <row r="204" spans="2:7" s="20" customFormat="1" ht="25.5">
      <c r="B204" s="84"/>
      <c r="C204" s="28"/>
      <c r="D204" s="28">
        <v>4010</v>
      </c>
      <c r="E204" s="30" t="s">
        <v>190</v>
      </c>
      <c r="F204" s="31">
        <v>18000</v>
      </c>
      <c r="G204" s="87" t="s">
        <v>314</v>
      </c>
    </row>
    <row r="205" spans="2:7" s="20" customFormat="1" ht="12.75">
      <c r="B205" s="84"/>
      <c r="C205" s="28"/>
      <c r="D205" s="28">
        <v>4110</v>
      </c>
      <c r="E205" s="30" t="s">
        <v>192</v>
      </c>
      <c r="F205" s="31">
        <v>3275</v>
      </c>
      <c r="G205" s="87"/>
    </row>
    <row r="206" spans="2:7" s="20" customFormat="1" ht="12.75">
      <c r="B206" s="84"/>
      <c r="C206" s="28"/>
      <c r="D206" s="28">
        <v>4120</v>
      </c>
      <c r="E206" s="30" t="s">
        <v>303</v>
      </c>
      <c r="F206" s="31">
        <v>445</v>
      </c>
      <c r="G206" s="87"/>
    </row>
    <row r="207" spans="2:7" s="20" customFormat="1" ht="12.75">
      <c r="B207" s="84"/>
      <c r="C207" s="21">
        <v>85295</v>
      </c>
      <c r="D207" s="21"/>
      <c r="E207" s="23" t="s">
        <v>23</v>
      </c>
      <c r="F207" s="24">
        <f>SUM(F208:F208)</f>
        <v>35000</v>
      </c>
      <c r="G207" s="87"/>
    </row>
    <row r="208" spans="2:7" s="20" customFormat="1" ht="12.75">
      <c r="B208" s="84"/>
      <c r="C208" s="21"/>
      <c r="D208" s="28">
        <v>3110</v>
      </c>
      <c r="E208" s="30" t="s">
        <v>293</v>
      </c>
      <c r="F208" s="32">
        <v>35000</v>
      </c>
      <c r="G208" s="87" t="s">
        <v>315</v>
      </c>
    </row>
    <row r="209" spans="2:7" s="20" customFormat="1" ht="25.5">
      <c r="B209" s="93">
        <v>900</v>
      </c>
      <c r="C209" s="94"/>
      <c r="D209" s="94"/>
      <c r="E209" s="95" t="s">
        <v>143</v>
      </c>
      <c r="F209" s="91">
        <f>F212+F218+F210</f>
        <v>429843</v>
      </c>
      <c r="G209" s="92"/>
    </row>
    <row r="210" spans="2:7" s="45" customFormat="1" ht="25.5" hidden="1">
      <c r="B210" s="100"/>
      <c r="C210" s="38">
        <v>90001</v>
      </c>
      <c r="D210" s="38"/>
      <c r="E210" s="39" t="s">
        <v>144</v>
      </c>
      <c r="F210" s="42">
        <f>F211</f>
        <v>0</v>
      </c>
      <c r="G210" s="90"/>
    </row>
    <row r="211" spans="2:7" s="45" customFormat="1" ht="24.75" customHeight="1" hidden="1">
      <c r="B211" s="100"/>
      <c r="C211" s="43"/>
      <c r="D211" s="28">
        <v>6050</v>
      </c>
      <c r="E211" s="30" t="s">
        <v>165</v>
      </c>
      <c r="F211" s="47"/>
      <c r="G211" s="90"/>
    </row>
    <row r="212" spans="2:7" s="20" customFormat="1" ht="12.75">
      <c r="B212" s="84"/>
      <c r="C212" s="21">
        <v>90015</v>
      </c>
      <c r="D212" s="21"/>
      <c r="E212" s="23" t="s">
        <v>316</v>
      </c>
      <c r="F212" s="24">
        <f>SUM(F213:F217)</f>
        <v>232843</v>
      </c>
      <c r="G212" s="87"/>
    </row>
    <row r="213" spans="2:7" s="20" customFormat="1" ht="12.75">
      <c r="B213" s="84"/>
      <c r="C213" s="28"/>
      <c r="D213" s="28">
        <v>4210</v>
      </c>
      <c r="E213" s="30" t="s">
        <v>158</v>
      </c>
      <c r="F213" s="31">
        <v>2500</v>
      </c>
      <c r="G213" s="87" t="s">
        <v>317</v>
      </c>
    </row>
    <row r="214" spans="2:7" s="20" customFormat="1" ht="12.75">
      <c r="B214" s="84"/>
      <c r="C214" s="28"/>
      <c r="D214" s="28">
        <v>4260</v>
      </c>
      <c r="E214" s="30" t="s">
        <v>208</v>
      </c>
      <c r="F214" s="31">
        <f>140000-5000</f>
        <v>135000</v>
      </c>
      <c r="G214" s="87" t="s">
        <v>318</v>
      </c>
    </row>
    <row r="215" spans="2:7" s="20" customFormat="1" ht="12.75">
      <c r="B215" s="84"/>
      <c r="C215" s="28"/>
      <c r="D215" s="28">
        <v>4270</v>
      </c>
      <c r="E215" s="30" t="s">
        <v>218</v>
      </c>
      <c r="F215" s="31">
        <v>30000</v>
      </c>
      <c r="G215" s="87" t="s">
        <v>319</v>
      </c>
    </row>
    <row r="216" spans="2:7" s="20" customFormat="1" ht="38.25">
      <c r="B216" s="84"/>
      <c r="C216" s="28"/>
      <c r="D216" s="28">
        <v>4300</v>
      </c>
      <c r="E216" s="30" t="s">
        <v>162</v>
      </c>
      <c r="F216" s="31">
        <f>3500+24000+14000+9638-1138</f>
        <v>50000</v>
      </c>
      <c r="G216" s="87" t="s">
        <v>320</v>
      </c>
    </row>
    <row r="217" spans="2:7" s="20" customFormat="1" ht="25.5">
      <c r="B217" s="84"/>
      <c r="C217" s="28"/>
      <c r="D217" s="28">
        <v>6050</v>
      </c>
      <c r="E217" s="30" t="s">
        <v>165</v>
      </c>
      <c r="F217" s="31">
        <f>24000+12000+9638-30000-295</f>
        <v>15343</v>
      </c>
      <c r="G217" s="87" t="s">
        <v>321</v>
      </c>
    </row>
    <row r="218" spans="2:7" s="20" customFormat="1" ht="12.75">
      <c r="B218" s="84"/>
      <c r="C218" s="21">
        <v>90095</v>
      </c>
      <c r="D218" s="21"/>
      <c r="E218" s="23" t="s">
        <v>23</v>
      </c>
      <c r="F218" s="24">
        <f>SUM(F219:F223)</f>
        <v>197000</v>
      </c>
      <c r="G218" s="87"/>
    </row>
    <row r="219" spans="2:7" s="20" customFormat="1" ht="12.75">
      <c r="B219" s="84"/>
      <c r="C219" s="21"/>
      <c r="D219" s="111">
        <v>4170</v>
      </c>
      <c r="E219" s="112" t="s">
        <v>322</v>
      </c>
      <c r="F219" s="31">
        <v>13000</v>
      </c>
      <c r="G219" s="87" t="s">
        <v>323</v>
      </c>
    </row>
    <row r="220" spans="2:7" s="20" customFormat="1" ht="38.25">
      <c r="B220" s="84"/>
      <c r="C220" s="21"/>
      <c r="D220" s="28">
        <v>4210</v>
      </c>
      <c r="E220" s="30" t="s">
        <v>158</v>
      </c>
      <c r="F220" s="31">
        <v>25000</v>
      </c>
      <c r="G220" s="87" t="s">
        <v>324</v>
      </c>
    </row>
    <row r="221" spans="2:7" s="20" customFormat="1" ht="12.75">
      <c r="B221" s="84"/>
      <c r="C221" s="28"/>
      <c r="D221" s="28">
        <v>4300</v>
      </c>
      <c r="E221" s="30" t="s">
        <v>162</v>
      </c>
      <c r="F221" s="31">
        <f>11200+20000-10200-15000</f>
        <v>6000</v>
      </c>
      <c r="G221" s="87" t="s">
        <v>325</v>
      </c>
    </row>
    <row r="222" spans="2:7" s="20" customFormat="1" ht="12.75">
      <c r="B222" s="84"/>
      <c r="C222" s="28"/>
      <c r="D222" s="28">
        <v>4260</v>
      </c>
      <c r="E222" s="30" t="s">
        <v>208</v>
      </c>
      <c r="F222" s="31">
        <v>2000</v>
      </c>
      <c r="G222" s="87" t="s">
        <v>326</v>
      </c>
    </row>
    <row r="223" spans="2:7" s="20" customFormat="1" ht="25.5">
      <c r="B223" s="84"/>
      <c r="C223" s="28"/>
      <c r="D223" s="28">
        <v>6050</v>
      </c>
      <c r="E223" s="30" t="s">
        <v>165</v>
      </c>
      <c r="F223" s="31">
        <v>151000</v>
      </c>
      <c r="G223" s="87" t="s">
        <v>327</v>
      </c>
    </row>
    <row r="224" spans="2:7" s="20" customFormat="1" ht="25.5">
      <c r="B224" s="93">
        <v>921</v>
      </c>
      <c r="C224" s="94"/>
      <c r="D224" s="94"/>
      <c r="E224" s="95" t="s">
        <v>328</v>
      </c>
      <c r="F224" s="91">
        <f>F225+F227</f>
        <v>432000</v>
      </c>
      <c r="G224" s="92"/>
    </row>
    <row r="225" spans="2:7" s="20" customFormat="1" ht="25.5">
      <c r="B225" s="84"/>
      <c r="C225" s="21">
        <v>92109</v>
      </c>
      <c r="D225" s="21"/>
      <c r="E225" s="23" t="s">
        <v>329</v>
      </c>
      <c r="F225" s="24">
        <f>SUM(F226:F226)</f>
        <v>172000</v>
      </c>
      <c r="G225" s="87"/>
    </row>
    <row r="226" spans="2:7" s="20" customFormat="1" ht="25.5">
      <c r="B226" s="84"/>
      <c r="C226" s="28"/>
      <c r="D226" s="28">
        <v>2480</v>
      </c>
      <c r="E226" s="30" t="s">
        <v>330</v>
      </c>
      <c r="F226" s="31">
        <f>202000-20000-10000</f>
        <v>172000</v>
      </c>
      <c r="G226" s="87" t="s">
        <v>331</v>
      </c>
    </row>
    <row r="227" spans="2:7" s="20" customFormat="1" ht="12.75">
      <c r="B227" s="84"/>
      <c r="C227" s="21">
        <v>92116</v>
      </c>
      <c r="D227" s="21"/>
      <c r="E227" s="23" t="s">
        <v>332</v>
      </c>
      <c r="F227" s="24">
        <f>SUM(F228:F228)</f>
        <v>260000</v>
      </c>
      <c r="G227" s="87"/>
    </row>
    <row r="228" spans="2:7" s="20" customFormat="1" ht="25.5">
      <c r="B228" s="84"/>
      <c r="C228" s="28"/>
      <c r="D228" s="28">
        <v>2480</v>
      </c>
      <c r="E228" s="30" t="s">
        <v>330</v>
      </c>
      <c r="F228" s="31">
        <f>300000-30000-10000</f>
        <v>260000</v>
      </c>
      <c r="G228" s="87" t="s">
        <v>333</v>
      </c>
    </row>
    <row r="229" spans="2:7" s="20" customFormat="1" ht="12.75">
      <c r="B229" s="93">
        <v>926</v>
      </c>
      <c r="C229" s="94"/>
      <c r="D229" s="94"/>
      <c r="E229" s="95" t="s">
        <v>334</v>
      </c>
      <c r="F229" s="91">
        <f>F230+F232</f>
        <v>93276</v>
      </c>
      <c r="G229" s="92"/>
    </row>
    <row r="230" spans="2:7" s="20" customFormat="1" ht="25.5">
      <c r="B230" s="84"/>
      <c r="C230" s="21">
        <v>92605</v>
      </c>
      <c r="D230" s="21"/>
      <c r="E230" s="23" t="s">
        <v>335</v>
      </c>
      <c r="F230" s="24">
        <f>SUM(F231:F231)</f>
        <v>30700</v>
      </c>
      <c r="G230" s="115"/>
    </row>
    <row r="231" spans="2:7" s="20" customFormat="1" ht="51">
      <c r="B231" s="84"/>
      <c r="C231" s="21"/>
      <c r="D231" s="28">
        <v>2820</v>
      </c>
      <c r="E231" s="30" t="s">
        <v>336</v>
      </c>
      <c r="F231" s="32">
        <f>26200+4500</f>
        <v>30700</v>
      </c>
      <c r="G231" s="87" t="s">
        <v>337</v>
      </c>
    </row>
    <row r="232" spans="2:7" s="20" customFormat="1" ht="25.5">
      <c r="B232" s="84"/>
      <c r="C232" s="21">
        <v>92695</v>
      </c>
      <c r="D232" s="21"/>
      <c r="E232" s="23" t="s">
        <v>23</v>
      </c>
      <c r="F232" s="24">
        <f>SUM(F233:F239)</f>
        <v>62576</v>
      </c>
      <c r="G232" s="115" t="s">
        <v>338</v>
      </c>
    </row>
    <row r="233" spans="2:7" s="20" customFormat="1" ht="25.5">
      <c r="B233" s="84"/>
      <c r="C233" s="28"/>
      <c r="D233" s="28">
        <v>3030</v>
      </c>
      <c r="E233" s="30" t="s">
        <v>194</v>
      </c>
      <c r="F233" s="31">
        <v>600</v>
      </c>
      <c r="G233" s="87" t="s">
        <v>339</v>
      </c>
    </row>
    <row r="234" spans="2:7" s="20" customFormat="1" ht="25.5">
      <c r="B234" s="84"/>
      <c r="C234" s="28"/>
      <c r="D234" s="28">
        <v>4170</v>
      </c>
      <c r="E234" s="30" t="s">
        <v>304</v>
      </c>
      <c r="F234" s="31">
        <v>11858</v>
      </c>
      <c r="G234" s="87" t="s">
        <v>340</v>
      </c>
    </row>
    <row r="235" spans="2:7" s="20" customFormat="1" ht="43.5" customHeight="1">
      <c r="B235" s="84"/>
      <c r="C235" s="28"/>
      <c r="D235" s="28">
        <v>4210</v>
      </c>
      <c r="E235" s="30" t="s">
        <v>158</v>
      </c>
      <c r="F235" s="31">
        <f>24300-5000</f>
        <v>19300</v>
      </c>
      <c r="G235" s="87" t="s">
        <v>341</v>
      </c>
    </row>
    <row r="236" spans="2:7" s="20" customFormat="1" ht="12.75">
      <c r="B236" s="84"/>
      <c r="C236" s="28"/>
      <c r="D236" s="28">
        <v>4260</v>
      </c>
      <c r="E236" s="30" t="s">
        <v>208</v>
      </c>
      <c r="F236" s="31">
        <v>7000</v>
      </c>
      <c r="G236" s="87" t="s">
        <v>342</v>
      </c>
    </row>
    <row r="237" spans="2:7" s="20" customFormat="1" ht="25.5">
      <c r="B237" s="84"/>
      <c r="C237" s="28"/>
      <c r="D237" s="28">
        <v>4300</v>
      </c>
      <c r="E237" s="30" t="s">
        <v>162</v>
      </c>
      <c r="F237" s="31">
        <v>21818</v>
      </c>
      <c r="G237" s="87" t="s">
        <v>343</v>
      </c>
    </row>
    <row r="238" spans="2:7" s="20" customFormat="1" ht="12.75">
      <c r="B238" s="84"/>
      <c r="C238" s="28"/>
      <c r="D238" s="28">
        <v>4410</v>
      </c>
      <c r="E238" s="30" t="s">
        <v>198</v>
      </c>
      <c r="F238" s="31">
        <v>800</v>
      </c>
      <c r="G238" s="87"/>
    </row>
    <row r="239" spans="2:7" s="20" customFormat="1" ht="12.75">
      <c r="B239" s="84"/>
      <c r="C239" s="28"/>
      <c r="D239" s="28">
        <v>4430</v>
      </c>
      <c r="E239" s="30" t="s">
        <v>213</v>
      </c>
      <c r="F239" s="31">
        <v>1200</v>
      </c>
      <c r="G239" s="87" t="s">
        <v>344</v>
      </c>
    </row>
    <row r="240" spans="2:7" s="20" customFormat="1" ht="13.5" thickBot="1">
      <c r="B240" s="121"/>
      <c r="C240" s="122"/>
      <c r="D240" s="122"/>
      <c r="E240" s="123" t="s">
        <v>149</v>
      </c>
      <c r="F240" s="124">
        <f>F5+F23+F27+F39+F69+F72+F97+F100+F164+F173+F209+F224+F229+F34+F94+F89+F19</f>
        <v>20413570</v>
      </c>
      <c r="G240" s="125"/>
    </row>
    <row r="241" spans="6:7" s="20" customFormat="1" ht="12.75">
      <c r="F241" s="49"/>
      <c r="G241" s="126"/>
    </row>
    <row r="242" spans="5:7" s="20" customFormat="1" ht="15.75">
      <c r="E242" s="128"/>
      <c r="F242" s="129"/>
      <c r="G242" s="130"/>
    </row>
    <row r="243" spans="4:7" s="20" customFormat="1" ht="12.75">
      <c r="D243" s="69"/>
      <c r="E243" s="49"/>
      <c r="F243" s="49"/>
      <c r="G243" s="4"/>
    </row>
    <row r="244" spans="6:7" s="20" customFormat="1" ht="12.75">
      <c r="F244" s="131"/>
      <c r="G244" s="4"/>
    </row>
    <row r="245" spans="5:7" s="20" customFormat="1" ht="12.75">
      <c r="E245" s="49"/>
      <c r="F245" s="49"/>
      <c r="G245" s="4"/>
    </row>
    <row r="246" spans="6:7" s="20" customFormat="1" ht="12.75">
      <c r="F246" s="49"/>
      <c r="G246" s="4"/>
    </row>
    <row r="247" spans="6:7" s="20" customFormat="1" ht="12.75">
      <c r="F247" s="49"/>
      <c r="G247" s="4"/>
    </row>
    <row r="248" spans="6:7" s="20" customFormat="1" ht="12.75">
      <c r="F248" s="49"/>
      <c r="G248" s="4"/>
    </row>
    <row r="249" spans="6:7" s="20" customFormat="1" ht="12.75">
      <c r="F249" s="49"/>
      <c r="G249" s="4"/>
    </row>
    <row r="250" spans="6:7" s="20" customFormat="1" ht="12.75">
      <c r="F250" s="49"/>
      <c r="G250" s="4"/>
    </row>
    <row r="251" spans="6:7" s="20" customFormat="1" ht="12.75">
      <c r="F251" s="49"/>
      <c r="G251" s="4"/>
    </row>
    <row r="252" spans="6:7" s="20" customFormat="1" ht="12.75">
      <c r="F252" s="49"/>
      <c r="G252" s="4"/>
    </row>
    <row r="253" s="20" customFormat="1" ht="12.75">
      <c r="G253" s="4"/>
    </row>
    <row r="254" s="20" customFormat="1" ht="12.75">
      <c r="G254" s="4"/>
    </row>
  </sheetData>
  <mergeCells count="17">
    <mergeCell ref="G8:G9"/>
    <mergeCell ref="G2:G3"/>
    <mergeCell ref="F2:F3"/>
    <mergeCell ref="B2:B3"/>
    <mergeCell ref="C2:C3"/>
    <mergeCell ref="D2:D3"/>
    <mergeCell ref="E2:E3"/>
    <mergeCell ref="G12:G13"/>
    <mergeCell ref="G17:G18"/>
    <mergeCell ref="G24:G25"/>
    <mergeCell ref="G41:G42"/>
    <mergeCell ref="G160:G161"/>
    <mergeCell ref="G166:G170"/>
    <mergeCell ref="G65:G68"/>
    <mergeCell ref="G85:G88"/>
    <mergeCell ref="G98:G99"/>
    <mergeCell ref="G145:G1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25">
      <selection activeCell="E32" sqref="E32"/>
    </sheetView>
  </sheetViews>
  <sheetFormatPr defaultColWidth="9.140625" defaultRowHeight="12.75"/>
  <cols>
    <col min="1" max="1" width="4.7109375" style="3" customWidth="1"/>
    <col min="2" max="2" width="6.8515625" style="3" customWidth="1"/>
    <col min="3" max="3" width="5.7109375" style="3" customWidth="1"/>
    <col min="4" max="4" width="38.28125" style="3" customWidth="1"/>
    <col min="5" max="5" width="15.57421875" style="8" customWidth="1"/>
    <col min="6" max="9" width="10.8515625" style="137" hidden="1" customWidth="1"/>
    <col min="10" max="21" width="15.57421875" style="3" hidden="1" customWidth="1"/>
    <col min="22" max="22" width="7.8515625" style="3" customWidth="1"/>
    <col min="23" max="23" width="4.421875" style="3" customWidth="1"/>
    <col min="24" max="24" width="33.140625" style="3" customWidth="1"/>
    <col min="25" max="25" width="16.7109375" style="3" customWidth="1"/>
    <col min="26" max="16384" width="9.140625" style="3" customWidth="1"/>
  </cols>
  <sheetData>
    <row r="1" spans="5:25" ht="12.75" customHeight="1">
      <c r="E1" s="5"/>
      <c r="F1" s="134"/>
      <c r="G1" s="134"/>
      <c r="H1" s="134"/>
      <c r="I1" s="134"/>
      <c r="J1" s="20"/>
      <c r="X1" s="317" t="s">
        <v>345</v>
      </c>
      <c r="Y1" s="317"/>
    </row>
    <row r="2" spans="6:25" ht="12.75">
      <c r="F2" s="135"/>
      <c r="G2" s="135"/>
      <c r="H2" s="135"/>
      <c r="I2" s="135"/>
      <c r="J2" s="136"/>
      <c r="X2" s="317"/>
      <c r="Y2" s="317"/>
    </row>
    <row r="3" spans="1:25" ht="15.75">
      <c r="A3" s="318" t="s">
        <v>346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</row>
    <row r="4" spans="1:25" ht="15.75">
      <c r="A4" s="318" t="s">
        <v>347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</row>
    <row r="5" spans="1:22" ht="13.5" thickBot="1">
      <c r="A5" s="1"/>
      <c r="B5" s="2"/>
      <c r="C5" s="2"/>
      <c r="V5" s="73"/>
    </row>
    <row r="6" spans="1:25" s="10" customFormat="1" ht="16.5" thickBot="1">
      <c r="A6" s="9" t="s">
        <v>2</v>
      </c>
      <c r="B6" s="9" t="s">
        <v>3</v>
      </c>
      <c r="C6" s="9" t="s">
        <v>4</v>
      </c>
      <c r="D6" s="9" t="s">
        <v>5</v>
      </c>
      <c r="E6" s="9" t="s">
        <v>348</v>
      </c>
      <c r="F6" s="138" t="s">
        <v>7</v>
      </c>
      <c r="G6" s="139"/>
      <c r="H6" s="140"/>
      <c r="I6" s="140"/>
      <c r="J6" s="9" t="s">
        <v>8</v>
      </c>
      <c r="K6" s="74" t="s">
        <v>9</v>
      </c>
      <c r="L6" s="74" t="s">
        <v>10</v>
      </c>
      <c r="M6" s="74" t="s">
        <v>11</v>
      </c>
      <c r="N6" s="74" t="s">
        <v>12</v>
      </c>
      <c r="O6" s="74" t="s">
        <v>13</v>
      </c>
      <c r="P6" s="74" t="s">
        <v>14</v>
      </c>
      <c r="Q6" s="74" t="s">
        <v>15</v>
      </c>
      <c r="R6" s="74" t="s">
        <v>16</v>
      </c>
      <c r="S6" s="74" t="s">
        <v>17</v>
      </c>
      <c r="T6" s="74" t="s">
        <v>18</v>
      </c>
      <c r="U6" s="74" t="s">
        <v>19</v>
      </c>
      <c r="V6" s="9" t="s">
        <v>3</v>
      </c>
      <c r="W6" s="9" t="s">
        <v>4</v>
      </c>
      <c r="X6" s="9" t="s">
        <v>5</v>
      </c>
      <c r="Y6" s="141" t="s">
        <v>349</v>
      </c>
    </row>
    <row r="7" spans="1:25" s="6" customFormat="1" ht="12.75">
      <c r="A7" s="12"/>
      <c r="B7" s="12"/>
      <c r="C7" s="12"/>
      <c r="D7" s="12"/>
      <c r="E7" s="14"/>
      <c r="F7" s="142"/>
      <c r="G7" s="142"/>
      <c r="H7" s="142"/>
      <c r="I7" s="14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4"/>
      <c r="X7" s="14"/>
      <c r="Y7" s="14"/>
    </row>
    <row r="8" spans="1:25" s="20" customFormat="1" ht="12.75">
      <c r="A8" s="35">
        <v>750</v>
      </c>
      <c r="B8" s="35"/>
      <c r="C8" s="35"/>
      <c r="D8" s="17" t="s">
        <v>50</v>
      </c>
      <c r="E8" s="18">
        <f>E9</f>
        <v>53000</v>
      </c>
      <c r="F8" s="18">
        <f>F9</f>
        <v>0</v>
      </c>
      <c r="G8" s="18">
        <f>G9</f>
        <v>0</v>
      </c>
      <c r="H8" s="18">
        <f>H9</f>
        <v>0</v>
      </c>
      <c r="I8" s="143" t="e">
        <f>I9+#REF!+#REF!</f>
        <v>#REF!</v>
      </c>
      <c r="J8" s="18">
        <f aca="true" t="shared" si="0" ref="J8:U8">J9</f>
        <v>2983</v>
      </c>
      <c r="K8" s="18">
        <f t="shared" si="0"/>
        <v>3596</v>
      </c>
      <c r="L8" s="18">
        <f t="shared" si="0"/>
        <v>2893</v>
      </c>
      <c r="M8" s="18">
        <f t="shared" si="0"/>
        <v>0</v>
      </c>
      <c r="N8" s="18">
        <f t="shared" si="0"/>
        <v>3200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91"/>
      <c r="W8" s="144"/>
      <c r="X8" s="144"/>
      <c r="Y8" s="91">
        <f>Y9</f>
        <v>53000</v>
      </c>
    </row>
    <row r="9" spans="1:25" s="20" customFormat="1" ht="12.75">
      <c r="A9" s="21"/>
      <c r="B9" s="21">
        <v>75011</v>
      </c>
      <c r="C9" s="21"/>
      <c r="D9" s="23" t="s">
        <v>51</v>
      </c>
      <c r="E9" s="61">
        <f>SUM(E10:E10)</f>
        <v>53000</v>
      </c>
      <c r="F9" s="26">
        <f aca="true" t="shared" si="1" ref="F9:U9">SUM(F10:F10)</f>
        <v>0</v>
      </c>
      <c r="G9" s="145">
        <f t="shared" si="1"/>
        <v>0</v>
      </c>
      <c r="H9" s="145">
        <f t="shared" si="1"/>
        <v>0</v>
      </c>
      <c r="I9" s="145">
        <f t="shared" si="1"/>
        <v>0</v>
      </c>
      <c r="J9" s="24">
        <f t="shared" si="1"/>
        <v>2983</v>
      </c>
      <c r="K9" s="24">
        <f t="shared" si="1"/>
        <v>3596</v>
      </c>
      <c r="L9" s="24">
        <f t="shared" si="1"/>
        <v>2893</v>
      </c>
      <c r="M9" s="24">
        <f t="shared" si="1"/>
        <v>0</v>
      </c>
      <c r="N9" s="24">
        <f t="shared" si="1"/>
        <v>3200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 t="shared" si="1"/>
        <v>0</v>
      </c>
      <c r="S9" s="24">
        <f t="shared" si="1"/>
        <v>0</v>
      </c>
      <c r="T9" s="24">
        <f t="shared" si="1"/>
        <v>0</v>
      </c>
      <c r="U9" s="24">
        <f t="shared" si="1"/>
        <v>0</v>
      </c>
      <c r="V9" s="21">
        <v>75011</v>
      </c>
      <c r="W9" s="21"/>
      <c r="X9" s="23" t="s">
        <v>51</v>
      </c>
      <c r="Y9" s="25">
        <f>Y10+Y11</f>
        <v>53000</v>
      </c>
    </row>
    <row r="10" spans="1:25" s="20" customFormat="1" ht="12.75">
      <c r="A10" s="297"/>
      <c r="B10" s="298"/>
      <c r="C10" s="301">
        <v>2010</v>
      </c>
      <c r="D10" s="303" t="s">
        <v>52</v>
      </c>
      <c r="E10" s="305">
        <v>53000</v>
      </c>
      <c r="F10" s="120"/>
      <c r="G10" s="146"/>
      <c r="H10" s="146"/>
      <c r="I10" s="146"/>
      <c r="J10" s="32">
        <v>2983</v>
      </c>
      <c r="K10" s="32">
        <v>3596</v>
      </c>
      <c r="L10" s="32">
        <v>2893</v>
      </c>
      <c r="M10" s="32"/>
      <c r="N10" s="32">
        <v>3200</v>
      </c>
      <c r="O10" s="32"/>
      <c r="P10" s="32"/>
      <c r="Q10" s="32"/>
      <c r="R10" s="32"/>
      <c r="S10" s="32"/>
      <c r="T10" s="32"/>
      <c r="U10" s="32"/>
      <c r="V10" s="307"/>
      <c r="W10" s="40">
        <v>4010</v>
      </c>
      <c r="X10" s="41" t="s">
        <v>190</v>
      </c>
      <c r="Y10" s="31">
        <v>45210</v>
      </c>
    </row>
    <row r="11" spans="1:25" s="20" customFormat="1" ht="12.75">
      <c r="A11" s="299"/>
      <c r="B11" s="300"/>
      <c r="C11" s="302"/>
      <c r="D11" s="304"/>
      <c r="E11" s="306"/>
      <c r="F11" s="120"/>
      <c r="G11" s="146"/>
      <c r="H11" s="146"/>
      <c r="I11" s="14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08"/>
      <c r="W11" s="40">
        <v>4110</v>
      </c>
      <c r="X11" s="41" t="s">
        <v>192</v>
      </c>
      <c r="Y11" s="31">
        <v>7790</v>
      </c>
    </row>
    <row r="12" spans="1:25" s="20" customFormat="1" ht="38.25">
      <c r="A12" s="35">
        <v>751</v>
      </c>
      <c r="B12" s="16"/>
      <c r="C12" s="16"/>
      <c r="D12" s="17" t="s">
        <v>60</v>
      </c>
      <c r="E12" s="151">
        <f>E13</f>
        <v>1053</v>
      </c>
      <c r="F12" s="120"/>
      <c r="G12" s="146"/>
      <c r="H12" s="146"/>
      <c r="I12" s="146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52"/>
      <c r="W12" s="153"/>
      <c r="X12" s="154"/>
      <c r="Y12" s="155">
        <f>Y13</f>
        <v>1053</v>
      </c>
    </row>
    <row r="13" spans="1:25" s="20" customFormat="1" ht="25.5">
      <c r="A13" s="43"/>
      <c r="B13" s="43">
        <v>75101</v>
      </c>
      <c r="C13" s="43"/>
      <c r="D13" s="44" t="s">
        <v>61</v>
      </c>
      <c r="E13" s="156">
        <f>E14</f>
        <v>1053</v>
      </c>
      <c r="F13" s="120"/>
      <c r="G13" s="146"/>
      <c r="H13" s="146"/>
      <c r="I13" s="146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43">
        <v>75101</v>
      </c>
      <c r="W13" s="40"/>
      <c r="X13" s="44" t="s">
        <v>61</v>
      </c>
      <c r="Y13" s="157">
        <f>Y14</f>
        <v>1053</v>
      </c>
    </row>
    <row r="14" spans="1:25" s="20" customFormat="1" ht="51">
      <c r="A14" s="295"/>
      <c r="B14" s="296"/>
      <c r="C14" s="28">
        <v>2010</v>
      </c>
      <c r="D14" s="30" t="s">
        <v>52</v>
      </c>
      <c r="E14" s="150">
        <v>1053</v>
      </c>
      <c r="F14" s="120"/>
      <c r="G14" s="146"/>
      <c r="H14" s="146"/>
      <c r="I14" s="146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40">
        <v>4300</v>
      </c>
      <c r="X14" s="41" t="s">
        <v>162</v>
      </c>
      <c r="Y14" s="31">
        <v>1053</v>
      </c>
    </row>
    <row r="15" spans="1:25" s="20" customFormat="1" ht="25.5">
      <c r="A15" s="35">
        <v>754</v>
      </c>
      <c r="B15" s="35"/>
      <c r="C15" s="35"/>
      <c r="D15" s="17" t="s">
        <v>63</v>
      </c>
      <c r="E15" s="18">
        <f aca="true" t="shared" si="2" ref="E15:U15">E16</f>
        <v>400</v>
      </c>
      <c r="F15" s="143">
        <f t="shared" si="2"/>
        <v>0</v>
      </c>
      <c r="G15" s="143">
        <f t="shared" si="2"/>
        <v>0</v>
      </c>
      <c r="H15" s="143">
        <f t="shared" si="2"/>
        <v>0</v>
      </c>
      <c r="I15" s="143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200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91"/>
      <c r="W15" s="144"/>
      <c r="X15" s="144"/>
      <c r="Y15" s="91">
        <f>Y16</f>
        <v>400</v>
      </c>
    </row>
    <row r="16" spans="1:25" s="20" customFormat="1" ht="12.75">
      <c r="A16" s="21"/>
      <c r="B16" s="21">
        <v>75414</v>
      </c>
      <c r="C16" s="21"/>
      <c r="D16" s="23" t="s">
        <v>64</v>
      </c>
      <c r="E16" s="61">
        <f aca="true" t="shared" si="3" ref="E16:U16">SUM(E17)</f>
        <v>400</v>
      </c>
      <c r="F16" s="145">
        <f t="shared" si="3"/>
        <v>0</v>
      </c>
      <c r="G16" s="145">
        <f t="shared" si="3"/>
        <v>0</v>
      </c>
      <c r="H16" s="145">
        <f t="shared" si="3"/>
        <v>0</v>
      </c>
      <c r="I16" s="145">
        <f t="shared" si="3"/>
        <v>0</v>
      </c>
      <c r="J16" s="24">
        <f t="shared" si="3"/>
        <v>0</v>
      </c>
      <c r="K16" s="24">
        <f t="shared" si="3"/>
        <v>0</v>
      </c>
      <c r="L16" s="24">
        <f t="shared" si="3"/>
        <v>0</v>
      </c>
      <c r="M16" s="24">
        <f t="shared" si="3"/>
        <v>200</v>
      </c>
      <c r="N16" s="24">
        <f t="shared" si="3"/>
        <v>0</v>
      </c>
      <c r="O16" s="24">
        <f t="shared" si="3"/>
        <v>0</v>
      </c>
      <c r="P16" s="24">
        <f t="shared" si="3"/>
        <v>0</v>
      </c>
      <c r="Q16" s="24">
        <f t="shared" si="3"/>
        <v>0</v>
      </c>
      <c r="R16" s="24">
        <f t="shared" si="3"/>
        <v>0</v>
      </c>
      <c r="S16" s="24">
        <f t="shared" si="3"/>
        <v>0</v>
      </c>
      <c r="T16" s="24">
        <f t="shared" si="3"/>
        <v>0</v>
      </c>
      <c r="U16" s="24">
        <f t="shared" si="3"/>
        <v>0</v>
      </c>
      <c r="V16" s="21">
        <v>75414</v>
      </c>
      <c r="W16" s="21"/>
      <c r="X16" s="23" t="s">
        <v>64</v>
      </c>
      <c r="Y16" s="25">
        <f>Y17</f>
        <v>400</v>
      </c>
    </row>
    <row r="17" spans="1:25" s="20" customFormat="1" ht="51">
      <c r="A17" s="21"/>
      <c r="B17" s="28"/>
      <c r="C17" s="28">
        <v>2010</v>
      </c>
      <c r="D17" s="30" t="s">
        <v>52</v>
      </c>
      <c r="E17" s="31">
        <v>400</v>
      </c>
      <c r="F17" s="146"/>
      <c r="G17" s="146"/>
      <c r="H17" s="146"/>
      <c r="I17" s="146"/>
      <c r="J17" s="32"/>
      <c r="K17" s="32"/>
      <c r="L17" s="32"/>
      <c r="M17" s="32">
        <v>200</v>
      </c>
      <c r="N17" s="32"/>
      <c r="O17" s="32"/>
      <c r="P17" s="32"/>
      <c r="Q17" s="32"/>
      <c r="R17" s="32"/>
      <c r="S17" s="32"/>
      <c r="T17" s="32"/>
      <c r="U17" s="32"/>
      <c r="V17" s="32"/>
      <c r="W17" s="28">
        <v>4210</v>
      </c>
      <c r="X17" s="30" t="s">
        <v>158</v>
      </c>
      <c r="Y17" s="32">
        <v>400</v>
      </c>
    </row>
    <row r="18" spans="1:25" s="20" customFormat="1" ht="12.75">
      <c r="A18" s="35">
        <v>852</v>
      </c>
      <c r="B18" s="35"/>
      <c r="C18" s="35"/>
      <c r="D18" s="17" t="s">
        <v>134</v>
      </c>
      <c r="E18" s="18">
        <f>E27+E25+E19</f>
        <v>1083600</v>
      </c>
      <c r="F18" s="143" t="e">
        <f>F27+#REF!+#REF!+#REF!+F25+#REF!+#REF!</f>
        <v>#REF!</v>
      </c>
      <c r="G18" s="143" t="e">
        <f>G27+#REF!+#REF!+#REF!+G25+#REF!+#REF!</f>
        <v>#REF!</v>
      </c>
      <c r="H18" s="143" t="e">
        <f>H27+#REF!+#REF!+#REF!+H25+#REF!+#REF!</f>
        <v>#REF!</v>
      </c>
      <c r="I18" s="143" t="e">
        <f>I27+#REF!+#REF!+#REF!+I25+#REF!+#REF!</f>
        <v>#REF!</v>
      </c>
      <c r="J18" s="18" t="e">
        <f>J27+#REF!+#REF!+#REF!+J25+#REF!+#REF!</f>
        <v>#REF!</v>
      </c>
      <c r="K18" s="18" t="e">
        <f>K27+#REF!+#REF!+#REF!+K25+#REF!+#REF!</f>
        <v>#REF!</v>
      </c>
      <c r="L18" s="18" t="e">
        <f>L27+#REF!+#REF!+#REF!+L25+#REF!+#REF!</f>
        <v>#REF!</v>
      </c>
      <c r="M18" s="18" t="e">
        <f>M27+#REF!+#REF!+#REF!+M25+#REF!+#REF!</f>
        <v>#REF!</v>
      </c>
      <c r="N18" s="18" t="e">
        <f>N27+#REF!+#REF!+#REF!+N25+#REF!+#REF!</f>
        <v>#REF!</v>
      </c>
      <c r="O18" s="18" t="e">
        <f>O27+#REF!+#REF!+#REF!+O25+#REF!+#REF!</f>
        <v>#REF!</v>
      </c>
      <c r="P18" s="18" t="e">
        <f>P27+#REF!+#REF!+#REF!+P25+#REF!+#REF!</f>
        <v>#REF!</v>
      </c>
      <c r="Q18" s="18" t="e">
        <f>Q27+#REF!+#REF!+#REF!+Q25+#REF!+#REF!</f>
        <v>#REF!</v>
      </c>
      <c r="R18" s="18" t="e">
        <f>R27+#REF!+#REF!+#REF!+R25+#REF!+#REF!</f>
        <v>#REF!</v>
      </c>
      <c r="S18" s="18" t="e">
        <f>S27+#REF!+#REF!+#REF!+S25+#REF!+#REF!</f>
        <v>#REF!</v>
      </c>
      <c r="T18" s="18" t="e">
        <f>T27+#REF!+#REF!+#REF!+T25+#REF!+#REF!</f>
        <v>#REF!</v>
      </c>
      <c r="U18" s="18" t="e">
        <f>U27+#REF!+#REF!+#REF!+U25+#REF!+#REF!</f>
        <v>#REF!</v>
      </c>
      <c r="V18" s="91"/>
      <c r="W18" s="144"/>
      <c r="X18" s="144"/>
      <c r="Y18" s="91">
        <f>Y27+Y25+Y19</f>
        <v>1083600</v>
      </c>
    </row>
    <row r="19" spans="1:25" s="162" customFormat="1" ht="38.25">
      <c r="A19" s="158"/>
      <c r="B19" s="118">
        <v>85212</v>
      </c>
      <c r="C19" s="46"/>
      <c r="D19" s="23" t="s">
        <v>135</v>
      </c>
      <c r="E19" s="159">
        <f>SUM(E20:E24)</f>
        <v>1057000</v>
      </c>
      <c r="F19" s="160"/>
      <c r="G19" s="160"/>
      <c r="H19" s="160"/>
      <c r="I19" s="160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18">
        <v>85212</v>
      </c>
      <c r="W19" s="46"/>
      <c r="X19" s="23" t="s">
        <v>135</v>
      </c>
      <c r="Y19" s="159">
        <f>SUM(Y20:Y24)</f>
        <v>1057000</v>
      </c>
    </row>
    <row r="20" spans="1:25" s="162" customFormat="1" ht="12.75">
      <c r="A20" s="309"/>
      <c r="B20" s="310"/>
      <c r="C20" s="301">
        <v>2010</v>
      </c>
      <c r="D20" s="303" t="s">
        <v>52</v>
      </c>
      <c r="E20" s="289">
        <v>1057000</v>
      </c>
      <c r="F20" s="160"/>
      <c r="G20" s="160"/>
      <c r="H20" s="160"/>
      <c r="I20" s="160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292"/>
      <c r="W20" s="28">
        <v>3110</v>
      </c>
      <c r="X20" s="30" t="s">
        <v>293</v>
      </c>
      <c r="Y20" s="53">
        <v>1035860</v>
      </c>
    </row>
    <row r="21" spans="1:25" s="162" customFormat="1" ht="12.75">
      <c r="A21" s="311"/>
      <c r="B21" s="312"/>
      <c r="C21" s="315"/>
      <c r="D21" s="316"/>
      <c r="E21" s="290"/>
      <c r="F21" s="160"/>
      <c r="G21" s="160"/>
      <c r="H21" s="160"/>
      <c r="I21" s="160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293"/>
      <c r="W21" s="28">
        <v>4010</v>
      </c>
      <c r="X21" s="30" t="s">
        <v>190</v>
      </c>
      <c r="Y21" s="53">
        <v>13163</v>
      </c>
    </row>
    <row r="22" spans="1:25" s="162" customFormat="1" ht="12.75">
      <c r="A22" s="311"/>
      <c r="B22" s="312"/>
      <c r="C22" s="315"/>
      <c r="D22" s="316"/>
      <c r="E22" s="290"/>
      <c r="F22" s="160"/>
      <c r="G22" s="160"/>
      <c r="H22" s="160"/>
      <c r="I22" s="160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293"/>
      <c r="W22" s="28">
        <v>4110</v>
      </c>
      <c r="X22" s="30" t="s">
        <v>192</v>
      </c>
      <c r="Y22" s="53">
        <v>2269</v>
      </c>
    </row>
    <row r="23" spans="1:25" s="162" customFormat="1" ht="12.75">
      <c r="A23" s="311"/>
      <c r="B23" s="312"/>
      <c r="C23" s="315"/>
      <c r="D23" s="316"/>
      <c r="E23" s="290"/>
      <c r="F23" s="160"/>
      <c r="G23" s="160"/>
      <c r="H23" s="160"/>
      <c r="I23" s="160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293"/>
      <c r="W23" s="28">
        <v>4210</v>
      </c>
      <c r="X23" s="30" t="s">
        <v>158</v>
      </c>
      <c r="Y23" s="53">
        <v>300</v>
      </c>
    </row>
    <row r="24" spans="1:25" s="162" customFormat="1" ht="12.75">
      <c r="A24" s="313"/>
      <c r="B24" s="314"/>
      <c r="C24" s="302"/>
      <c r="D24" s="304"/>
      <c r="E24" s="291"/>
      <c r="F24" s="160"/>
      <c r="G24" s="160"/>
      <c r="H24" s="160"/>
      <c r="I24" s="160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294"/>
      <c r="W24" s="28">
        <v>4300</v>
      </c>
      <c r="X24" s="30" t="s">
        <v>162</v>
      </c>
      <c r="Y24" s="53">
        <v>5408</v>
      </c>
    </row>
    <row r="25" spans="1:25" s="45" customFormat="1" ht="38.25">
      <c r="A25" s="43"/>
      <c r="B25" s="21">
        <v>85213</v>
      </c>
      <c r="C25" s="21"/>
      <c r="D25" s="23" t="s">
        <v>350</v>
      </c>
      <c r="E25" s="56">
        <f>E26</f>
        <v>12900</v>
      </c>
      <c r="F25" s="163">
        <f aca="true" t="shared" si="4" ref="F25:K25">F26</f>
        <v>0</v>
      </c>
      <c r="G25" s="163">
        <f t="shared" si="4"/>
        <v>0</v>
      </c>
      <c r="H25" s="163">
        <f t="shared" si="4"/>
        <v>2500</v>
      </c>
      <c r="I25" s="163">
        <f t="shared" si="4"/>
        <v>0</v>
      </c>
      <c r="J25" s="42">
        <f t="shared" si="4"/>
        <v>1183</v>
      </c>
      <c r="K25" s="42">
        <f t="shared" si="4"/>
        <v>805</v>
      </c>
      <c r="L25" s="42">
        <f>L26</f>
        <v>582</v>
      </c>
      <c r="M25" s="42">
        <f>M26</f>
        <v>1183</v>
      </c>
      <c r="N25" s="42">
        <f>N26</f>
        <v>2163</v>
      </c>
      <c r="O25" s="42"/>
      <c r="P25" s="42"/>
      <c r="Q25" s="42"/>
      <c r="R25" s="42"/>
      <c r="S25" s="42"/>
      <c r="T25" s="42"/>
      <c r="U25" s="42"/>
      <c r="V25" s="21">
        <v>85213</v>
      </c>
      <c r="W25" s="21"/>
      <c r="X25" s="23" t="s">
        <v>350</v>
      </c>
      <c r="Y25" s="56">
        <f>Y26</f>
        <v>12900</v>
      </c>
    </row>
    <row r="26" spans="1:25" s="45" customFormat="1" ht="51">
      <c r="A26" s="295"/>
      <c r="B26" s="296"/>
      <c r="C26" s="28">
        <v>2010</v>
      </c>
      <c r="D26" s="30" t="s">
        <v>52</v>
      </c>
      <c r="E26" s="47">
        <v>12900</v>
      </c>
      <c r="F26" s="163"/>
      <c r="G26" s="163"/>
      <c r="H26" s="48">
        <v>2500</v>
      </c>
      <c r="I26" s="163"/>
      <c r="J26" s="47">
        <v>1183</v>
      </c>
      <c r="K26" s="47">
        <v>805</v>
      </c>
      <c r="L26" s="47">
        <v>582</v>
      </c>
      <c r="M26" s="47">
        <v>1183</v>
      </c>
      <c r="N26" s="47">
        <v>2163</v>
      </c>
      <c r="O26" s="42"/>
      <c r="P26" s="42"/>
      <c r="Q26" s="42"/>
      <c r="R26" s="42"/>
      <c r="S26" s="42"/>
      <c r="T26" s="42"/>
      <c r="U26" s="42"/>
      <c r="V26" s="42"/>
      <c r="W26" s="28">
        <v>4130</v>
      </c>
      <c r="X26" s="30" t="s">
        <v>294</v>
      </c>
      <c r="Y26" s="47">
        <v>12900</v>
      </c>
    </row>
    <row r="27" spans="1:25" s="20" customFormat="1" ht="25.5">
      <c r="A27" s="21"/>
      <c r="B27" s="21">
        <v>85214</v>
      </c>
      <c r="C27" s="21"/>
      <c r="D27" s="23" t="s">
        <v>137</v>
      </c>
      <c r="E27" s="61">
        <f aca="true" t="shared" si="5" ref="E27:U27">E28</f>
        <v>13700</v>
      </c>
      <c r="F27" s="145">
        <f t="shared" si="5"/>
        <v>0</v>
      </c>
      <c r="G27" s="145">
        <f t="shared" si="5"/>
        <v>53000</v>
      </c>
      <c r="H27" s="145">
        <f t="shared" si="5"/>
        <v>14800</v>
      </c>
      <c r="I27" s="145">
        <f t="shared" si="5"/>
        <v>0</v>
      </c>
      <c r="J27" s="24">
        <f t="shared" si="5"/>
        <v>20100</v>
      </c>
      <c r="K27" s="24">
        <f t="shared" si="5"/>
        <v>32427</v>
      </c>
      <c r="L27" s="24">
        <f t="shared" si="5"/>
        <v>22000</v>
      </c>
      <c r="M27" s="24">
        <f t="shared" si="5"/>
        <v>20100</v>
      </c>
      <c r="N27" s="24">
        <f t="shared" si="5"/>
        <v>29168</v>
      </c>
      <c r="O27" s="24">
        <f t="shared" si="5"/>
        <v>0</v>
      </c>
      <c r="P27" s="24">
        <f t="shared" si="5"/>
        <v>0</v>
      </c>
      <c r="Q27" s="24">
        <f t="shared" si="5"/>
        <v>0</v>
      </c>
      <c r="R27" s="24">
        <f t="shared" si="5"/>
        <v>0</v>
      </c>
      <c r="S27" s="24">
        <f t="shared" si="5"/>
        <v>0</v>
      </c>
      <c r="T27" s="24">
        <f t="shared" si="5"/>
        <v>0</v>
      </c>
      <c r="U27" s="24">
        <f t="shared" si="5"/>
        <v>0</v>
      </c>
      <c r="V27" s="21">
        <v>85214</v>
      </c>
      <c r="W27" s="21"/>
      <c r="X27" s="23" t="s">
        <v>137</v>
      </c>
      <c r="Y27" s="61">
        <f>Y28+Y29</f>
        <v>13700</v>
      </c>
    </row>
    <row r="28" spans="1:25" s="20" customFormat="1" ht="24" customHeight="1">
      <c r="A28" s="297"/>
      <c r="B28" s="298"/>
      <c r="C28" s="301">
        <v>2010</v>
      </c>
      <c r="D28" s="303" t="s">
        <v>52</v>
      </c>
      <c r="E28" s="305">
        <v>13700</v>
      </c>
      <c r="F28" s="165"/>
      <c r="G28" s="165">
        <v>53000</v>
      </c>
      <c r="H28" s="165">
        <v>14800</v>
      </c>
      <c r="I28" s="165"/>
      <c r="J28" s="31">
        <v>20100</v>
      </c>
      <c r="K28" s="31">
        <v>32427</v>
      </c>
      <c r="L28" s="31">
        <v>22000</v>
      </c>
      <c r="M28" s="31">
        <v>20100</v>
      </c>
      <c r="N28" s="31">
        <v>29168</v>
      </c>
      <c r="O28" s="31"/>
      <c r="P28" s="31"/>
      <c r="Q28" s="31"/>
      <c r="R28" s="31"/>
      <c r="S28" s="31"/>
      <c r="T28" s="31"/>
      <c r="U28" s="31"/>
      <c r="V28" s="307"/>
      <c r="W28" s="28">
        <v>3110</v>
      </c>
      <c r="X28" s="30" t="s">
        <v>293</v>
      </c>
      <c r="Y28" s="166">
        <v>10400</v>
      </c>
    </row>
    <row r="29" spans="1:25" s="20" customFormat="1" ht="31.5" customHeight="1">
      <c r="A29" s="299"/>
      <c r="B29" s="300"/>
      <c r="C29" s="302"/>
      <c r="D29" s="304"/>
      <c r="E29" s="306"/>
      <c r="F29" s="165"/>
      <c r="G29" s="165"/>
      <c r="H29" s="165"/>
      <c r="I29" s="16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8"/>
      <c r="W29" s="28">
        <v>4110</v>
      </c>
      <c r="X29" s="30" t="s">
        <v>297</v>
      </c>
      <c r="Y29" s="166">
        <v>3300</v>
      </c>
    </row>
    <row r="30" spans="1:25" s="20" customFormat="1" ht="12.75">
      <c r="A30" s="127"/>
      <c r="B30" s="286"/>
      <c r="C30" s="16"/>
      <c r="D30" s="35" t="s">
        <v>149</v>
      </c>
      <c r="E30" s="18">
        <f>E8+E15+E18+E12</f>
        <v>1138053</v>
      </c>
      <c r="F30" s="18" t="e">
        <f>F8+F15+#REF!+F18+#REF!</f>
        <v>#REF!</v>
      </c>
      <c r="G30" s="18" t="e">
        <f>G8+G15+#REF!+G18+#REF!</f>
        <v>#REF!</v>
      </c>
      <c r="H30" s="18" t="e">
        <f>H8+H15+#REF!+H18+#REF!</f>
        <v>#REF!</v>
      </c>
      <c r="I30" s="18" t="e">
        <f>I8+I15+#REF!+I18+#REF!</f>
        <v>#REF!</v>
      </c>
      <c r="J30" s="18" t="e">
        <f>J8+J15+#REF!+J18+#REF!</f>
        <v>#REF!</v>
      </c>
      <c r="K30" s="18" t="e">
        <f>K8+K15+#REF!+K18+#REF!</f>
        <v>#REF!</v>
      </c>
      <c r="L30" s="18" t="e">
        <f>L8+L15+#REF!+L18+#REF!</f>
        <v>#REF!</v>
      </c>
      <c r="M30" s="18" t="e">
        <f>M8+M15+#REF!+M18+#REF!</f>
        <v>#REF!</v>
      </c>
      <c r="N30" s="18" t="e">
        <f>N8+N15+#REF!+N18+#REF!</f>
        <v>#REF!</v>
      </c>
      <c r="O30" s="18" t="e">
        <f>O8+O15+#REF!+O18+#REF!</f>
        <v>#REF!</v>
      </c>
      <c r="P30" s="18" t="e">
        <f>P8+P15+#REF!+P18+#REF!</f>
        <v>#REF!</v>
      </c>
      <c r="Q30" s="18" t="e">
        <f>Q8+Q15+#REF!+Q18+#REF!</f>
        <v>#REF!</v>
      </c>
      <c r="R30" s="18" t="e">
        <f>R8+R15+#REF!+R18+#REF!</f>
        <v>#REF!</v>
      </c>
      <c r="S30" s="18" t="e">
        <f>S8+S15+#REF!+S18+#REF!</f>
        <v>#REF!</v>
      </c>
      <c r="T30" s="18" t="e">
        <f>T8+T15+#REF!+T18+#REF!</f>
        <v>#REF!</v>
      </c>
      <c r="U30" s="18" t="e">
        <f>U8+U15+#REF!+U18+#REF!</f>
        <v>#REF!</v>
      </c>
      <c r="V30" s="287"/>
      <c r="W30" s="288"/>
      <c r="X30" s="144"/>
      <c r="Y30" s="91">
        <f>Y8+Y15+Y18+Y12</f>
        <v>1138053</v>
      </c>
    </row>
    <row r="31" spans="5:25" s="20" customFormat="1" ht="12.75">
      <c r="E31" s="67"/>
      <c r="F31" s="134"/>
      <c r="G31" s="134"/>
      <c r="H31" s="134"/>
      <c r="I31" s="134"/>
      <c r="Y31" s="49"/>
    </row>
    <row r="32" spans="5:25" s="20" customFormat="1" ht="12.75">
      <c r="E32" s="68"/>
      <c r="F32" s="167"/>
      <c r="G32" s="167"/>
      <c r="H32" s="167"/>
      <c r="I32" s="167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Y32" s="49"/>
    </row>
    <row r="33" spans="5:25" s="20" customFormat="1" ht="12.75">
      <c r="E33" s="68"/>
      <c r="F33" s="167"/>
      <c r="G33" s="167"/>
      <c r="H33" s="167"/>
      <c r="I33" s="167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Y33" s="49"/>
    </row>
    <row r="34" spans="5:25" s="20" customFormat="1" ht="12.75">
      <c r="E34" s="67"/>
      <c r="F34" s="134"/>
      <c r="G34" s="134"/>
      <c r="H34" s="134"/>
      <c r="I34" s="134"/>
      <c r="Y34" s="49"/>
    </row>
    <row r="35" spans="5:25" s="20" customFormat="1" ht="12.75">
      <c r="E35" s="67"/>
      <c r="F35" s="134"/>
      <c r="G35" s="134"/>
      <c r="H35" s="134"/>
      <c r="I35" s="134"/>
      <c r="Y35" s="49"/>
    </row>
    <row r="36" spans="5:25" s="20" customFormat="1" ht="12.75">
      <c r="E36" s="67"/>
      <c r="F36" s="134"/>
      <c r="G36" s="134"/>
      <c r="H36" s="134"/>
      <c r="I36" s="134"/>
      <c r="Y36" s="49"/>
    </row>
    <row r="37" spans="5:25" s="20" customFormat="1" ht="12.75">
      <c r="E37" s="67"/>
      <c r="F37" s="134"/>
      <c r="G37" s="134"/>
      <c r="H37" s="134"/>
      <c r="I37" s="134"/>
      <c r="Y37" s="49"/>
    </row>
    <row r="38" spans="5:25" s="20" customFormat="1" ht="12.75">
      <c r="E38" s="67"/>
      <c r="F38" s="134"/>
      <c r="G38" s="134"/>
      <c r="H38" s="134"/>
      <c r="I38" s="134"/>
      <c r="Y38" s="49"/>
    </row>
    <row r="39" ht="12.75">
      <c r="Y39" s="132"/>
    </row>
    <row r="40" ht="12.75">
      <c r="Y40" s="132"/>
    </row>
    <row r="41" ht="12.75">
      <c r="Y41" s="132"/>
    </row>
    <row r="42" ht="12.75">
      <c r="Y42" s="132"/>
    </row>
    <row r="43" ht="12.75">
      <c r="Y43" s="132"/>
    </row>
    <row r="44" ht="12.75">
      <c r="Y44" s="132"/>
    </row>
    <row r="45" ht="12.75">
      <c r="Y45" s="132"/>
    </row>
    <row r="46" ht="12.75">
      <c r="Y46" s="132"/>
    </row>
    <row r="47" ht="12.75">
      <c r="Y47" s="132"/>
    </row>
    <row r="48" ht="12.75">
      <c r="Y48" s="132"/>
    </row>
    <row r="49" ht="12.75">
      <c r="Y49" s="132"/>
    </row>
    <row r="50" ht="12.75">
      <c r="Y50" s="132"/>
    </row>
    <row r="51" ht="12.75">
      <c r="Y51" s="132"/>
    </row>
    <row r="52" ht="12.75">
      <c r="Y52" s="132"/>
    </row>
    <row r="53" ht="12.75">
      <c r="Y53" s="132"/>
    </row>
    <row r="54" ht="12.75">
      <c r="Y54" s="132"/>
    </row>
    <row r="55" ht="12.75">
      <c r="Y55" s="132"/>
    </row>
    <row r="56" ht="12.75">
      <c r="Y56" s="132"/>
    </row>
    <row r="57" ht="12.75">
      <c r="Y57" s="132"/>
    </row>
    <row r="58" ht="12.75">
      <c r="Y58" s="132"/>
    </row>
    <row r="59" ht="12.75">
      <c r="Y59" s="132"/>
    </row>
    <row r="60" ht="12.75">
      <c r="Y60" s="132"/>
    </row>
    <row r="61" ht="12.75">
      <c r="Y61" s="132"/>
    </row>
  </sheetData>
  <mergeCells count="22">
    <mergeCell ref="X1:Y2"/>
    <mergeCell ref="A3:Y3"/>
    <mergeCell ref="A4:Y4"/>
    <mergeCell ref="A10:B11"/>
    <mergeCell ref="C10:C11"/>
    <mergeCell ref="D10:D11"/>
    <mergeCell ref="E10:E11"/>
    <mergeCell ref="V10:V11"/>
    <mergeCell ref="A14:B14"/>
    <mergeCell ref="A20:B24"/>
    <mergeCell ref="C20:C24"/>
    <mergeCell ref="D20:D24"/>
    <mergeCell ref="A30:B30"/>
    <mergeCell ref="V30:W30"/>
    <mergeCell ref="E20:E24"/>
    <mergeCell ref="V20:V24"/>
    <mergeCell ref="A26:B26"/>
    <mergeCell ref="A28:B29"/>
    <mergeCell ref="C28:C29"/>
    <mergeCell ref="D28:D29"/>
    <mergeCell ref="E28:E29"/>
    <mergeCell ref="V28:V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E1" sqref="E1:N16384"/>
    </sheetView>
  </sheetViews>
  <sheetFormatPr defaultColWidth="9.140625" defaultRowHeight="12.75"/>
  <cols>
    <col min="1" max="1" width="5.28125" style="0" customWidth="1"/>
    <col min="2" max="2" width="39.421875" style="0" customWidth="1"/>
    <col min="3" max="3" width="30.28125" style="0" customWidth="1"/>
    <col min="4" max="4" width="28.8515625" style="0" customWidth="1"/>
    <col min="5" max="5" width="12.00390625" style="0" customWidth="1"/>
  </cols>
  <sheetData>
    <row r="1" spans="3:4" ht="12.75" customHeight="1">
      <c r="C1" s="317" t="s">
        <v>351</v>
      </c>
      <c r="D1" s="317"/>
    </row>
    <row r="2" spans="3:4" ht="12.75" customHeight="1">
      <c r="C2" s="317"/>
      <c r="D2" s="317"/>
    </row>
    <row r="3" spans="1:4" ht="20.25">
      <c r="A3" s="2"/>
      <c r="B3" s="168" t="s">
        <v>352</v>
      </c>
      <c r="C3" s="169"/>
      <c r="D3" s="170"/>
    </row>
    <row r="4" spans="1:4" ht="12.75">
      <c r="A4" s="171"/>
      <c r="B4" s="172"/>
      <c r="C4" s="172"/>
      <c r="D4" s="5"/>
    </row>
    <row r="5" spans="1:4" ht="12.75">
      <c r="A5" s="171"/>
      <c r="B5" s="172"/>
      <c r="C5" s="172"/>
      <c r="D5" s="172"/>
    </row>
    <row r="6" spans="1:4" ht="29.25" customHeight="1">
      <c r="A6" s="173" t="s">
        <v>4</v>
      </c>
      <c r="B6" s="173" t="s">
        <v>353</v>
      </c>
      <c r="C6" s="174" t="s">
        <v>354</v>
      </c>
      <c r="D6" s="174" t="s">
        <v>355</v>
      </c>
    </row>
    <row r="7" spans="1:4" ht="12.75">
      <c r="A7" s="175"/>
      <c r="B7" s="175"/>
      <c r="C7" s="175"/>
      <c r="D7" s="176"/>
    </row>
    <row r="8" spans="1:4" ht="12.75" customHeight="1">
      <c r="A8" s="177"/>
      <c r="B8" s="178"/>
      <c r="C8" s="178"/>
      <c r="D8" s="178"/>
    </row>
    <row r="9" spans="1:4" ht="12.75">
      <c r="A9" s="179">
        <v>957</v>
      </c>
      <c r="B9" s="178" t="s">
        <v>356</v>
      </c>
      <c r="C9" s="180"/>
      <c r="D9" s="180"/>
    </row>
    <row r="10" spans="1:4" ht="12.75">
      <c r="A10" s="181"/>
      <c r="B10" s="178"/>
      <c r="C10" s="180"/>
      <c r="D10" s="180"/>
    </row>
    <row r="11" spans="1:4" s="183" customFormat="1" ht="25.5">
      <c r="A11" s="21">
        <v>952</v>
      </c>
      <c r="B11" s="30" t="s">
        <v>357</v>
      </c>
      <c r="C11" s="32">
        <v>2850000</v>
      </c>
      <c r="D11" s="32"/>
    </row>
    <row r="12" spans="1:4" s="183" customFormat="1" ht="12.75">
      <c r="A12" s="21"/>
      <c r="B12" s="30"/>
      <c r="C12" s="32"/>
      <c r="D12" s="32"/>
    </row>
    <row r="13" spans="1:4" s="183" customFormat="1" ht="25.5">
      <c r="A13" s="22">
        <v>992</v>
      </c>
      <c r="B13" s="30" t="s">
        <v>358</v>
      </c>
      <c r="C13" s="32"/>
      <c r="D13" s="32">
        <v>407625</v>
      </c>
    </row>
    <row r="14" spans="1:4" s="183" customFormat="1" ht="12.75">
      <c r="A14" s="28"/>
      <c r="B14" s="30"/>
      <c r="C14" s="32"/>
      <c r="D14" s="32"/>
    </row>
    <row r="15" spans="1:4" s="183" customFormat="1" ht="12.75">
      <c r="A15" s="28"/>
      <c r="B15" s="30"/>
      <c r="C15" s="32"/>
      <c r="D15" s="32"/>
    </row>
    <row r="16" spans="1:4" ht="12.75">
      <c r="A16" s="184"/>
      <c r="B16" s="185"/>
      <c r="C16" s="185"/>
      <c r="D16" s="185"/>
    </row>
    <row r="17" spans="1:4" ht="15.75">
      <c r="A17" s="186"/>
      <c r="B17" s="187"/>
      <c r="C17" s="188">
        <f>SUM(C9:C15)</f>
        <v>2850000</v>
      </c>
      <c r="D17" s="188">
        <f>SUM(D9:D15)</f>
        <v>407625</v>
      </c>
    </row>
    <row r="18" spans="1:4" ht="12.75">
      <c r="A18" s="189"/>
      <c r="B18" s="190"/>
      <c r="C18" s="190"/>
      <c r="D18" s="190"/>
    </row>
    <row r="20" ht="12.75">
      <c r="B20" s="191"/>
    </row>
  </sheetData>
  <mergeCells count="1">
    <mergeCell ref="C1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63"/>
  <sheetViews>
    <sheetView tabSelected="1" workbookViewId="0" topLeftCell="A152">
      <selection activeCell="H163" sqref="H163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25.140625" style="0" customWidth="1"/>
  </cols>
  <sheetData>
    <row r="2" ht="18">
      <c r="I2" s="357">
        <v>2005</v>
      </c>
    </row>
    <row r="4" spans="2:9" ht="15">
      <c r="B4" s="358" t="s">
        <v>429</v>
      </c>
      <c r="C4" s="359"/>
      <c r="D4" s="359"/>
      <c r="E4" s="359"/>
      <c r="F4" s="359"/>
      <c r="G4" s="359"/>
      <c r="H4" s="359"/>
      <c r="I4" s="359"/>
    </row>
    <row r="5" spans="2:9" ht="15">
      <c r="B5" s="359"/>
      <c r="C5" s="359"/>
      <c r="D5" s="359"/>
      <c r="E5" s="359"/>
      <c r="F5" s="359"/>
      <c r="G5" s="359"/>
      <c r="H5" s="359"/>
      <c r="I5" s="359"/>
    </row>
    <row r="6" spans="2:9" ht="15">
      <c r="B6" s="359" t="s">
        <v>430</v>
      </c>
      <c r="C6" s="359"/>
      <c r="D6" s="359"/>
      <c r="E6" s="359"/>
      <c r="F6" s="359"/>
      <c r="G6" s="360"/>
      <c r="H6" s="359"/>
      <c r="I6" s="361">
        <v>1255722</v>
      </c>
    </row>
    <row r="7" spans="2:9" ht="15">
      <c r="B7" s="359" t="s">
        <v>431</v>
      </c>
      <c r="C7" s="359"/>
      <c r="D7" s="359"/>
      <c r="E7" s="359"/>
      <c r="F7" s="359"/>
      <c r="G7" s="359"/>
      <c r="H7" s="359"/>
      <c r="I7" s="361">
        <v>2850000</v>
      </c>
    </row>
    <row r="8" spans="2:9" ht="15">
      <c r="B8" s="359" t="s">
        <v>432</v>
      </c>
      <c r="C8" s="359"/>
      <c r="D8" s="359"/>
      <c r="E8" s="359"/>
      <c r="F8" s="362"/>
      <c r="G8" s="359"/>
      <c r="H8" s="359"/>
      <c r="I8" s="363">
        <f>I9+I10</f>
        <v>624849</v>
      </c>
    </row>
    <row r="9" spans="2:9" ht="15">
      <c r="B9" s="359"/>
      <c r="C9" s="359"/>
      <c r="D9" s="359"/>
      <c r="E9" s="359"/>
      <c r="F9" s="364" t="s">
        <v>433</v>
      </c>
      <c r="G9" s="365" t="s">
        <v>434</v>
      </c>
      <c r="H9" s="359"/>
      <c r="I9" s="361">
        <v>407625</v>
      </c>
    </row>
    <row r="10" spans="2:9" ht="15">
      <c r="B10" s="359"/>
      <c r="C10" s="359"/>
      <c r="D10" s="359"/>
      <c r="E10" s="359"/>
      <c r="F10" s="364" t="s">
        <v>435</v>
      </c>
      <c r="G10" s="365" t="s">
        <v>436</v>
      </c>
      <c r="H10" s="359"/>
      <c r="I10" s="361">
        <v>217224</v>
      </c>
    </row>
    <row r="11" spans="2:9" ht="15">
      <c r="B11" s="359" t="s">
        <v>437</v>
      </c>
      <c r="C11" s="359"/>
      <c r="D11" s="359"/>
      <c r="E11" s="359"/>
      <c r="F11" s="359"/>
      <c r="G11" s="359"/>
      <c r="H11" s="359"/>
      <c r="I11" s="361">
        <f>I6+I7-I9</f>
        <v>3698097</v>
      </c>
    </row>
    <row r="12" spans="2:9" ht="15">
      <c r="B12" s="359" t="s">
        <v>438</v>
      </c>
      <c r="C12" s="359"/>
      <c r="D12" s="359"/>
      <c r="E12" s="359"/>
      <c r="F12" s="359"/>
      <c r="G12" s="359"/>
      <c r="H12" s="359"/>
      <c r="I12" s="361">
        <v>17971195</v>
      </c>
    </row>
    <row r="13" spans="2:9" ht="15">
      <c r="B13" s="359" t="s">
        <v>439</v>
      </c>
      <c r="C13" s="359"/>
      <c r="D13" s="359"/>
      <c r="E13" s="359"/>
      <c r="F13" s="359"/>
      <c r="G13" s="359"/>
      <c r="H13" s="359"/>
      <c r="I13" s="361"/>
    </row>
    <row r="14" spans="2:9" ht="15">
      <c r="B14" s="359" t="s">
        <v>440</v>
      </c>
      <c r="C14" s="359"/>
      <c r="D14" s="359"/>
      <c r="E14" s="359"/>
      <c r="F14" s="359"/>
      <c r="G14" s="359"/>
      <c r="H14" s="359"/>
      <c r="I14" s="366">
        <f>I8/I12</f>
        <v>0.03476947415016086</v>
      </c>
    </row>
    <row r="15" spans="2:9" ht="15">
      <c r="B15" s="359" t="s">
        <v>441</v>
      </c>
      <c r="C15" s="359"/>
      <c r="D15" s="359"/>
      <c r="E15" s="359"/>
      <c r="F15" s="359"/>
      <c r="G15" s="359"/>
      <c r="H15" s="359"/>
      <c r="I15" s="361"/>
    </row>
    <row r="16" spans="2:9" ht="15">
      <c r="B16" s="359" t="s">
        <v>442</v>
      </c>
      <c r="C16" s="359"/>
      <c r="D16" s="359"/>
      <c r="E16" s="359"/>
      <c r="F16" s="359"/>
      <c r="G16" s="359"/>
      <c r="H16" s="359"/>
      <c r="I16" s="366">
        <f>I11/I12</f>
        <v>0.2057791371135865</v>
      </c>
    </row>
    <row r="17" spans="2:9" ht="15">
      <c r="B17" s="359"/>
      <c r="C17" s="359"/>
      <c r="D17" s="359"/>
      <c r="E17" s="359"/>
      <c r="F17" s="359"/>
      <c r="G17" s="359"/>
      <c r="H17" s="359"/>
      <c r="I17" s="361"/>
    </row>
    <row r="18" spans="2:9" ht="15">
      <c r="B18" s="358" t="s">
        <v>443</v>
      </c>
      <c r="C18" s="359"/>
      <c r="D18" s="359"/>
      <c r="E18" s="359"/>
      <c r="F18" s="359"/>
      <c r="G18" s="359"/>
      <c r="H18" s="359"/>
      <c r="I18" s="359"/>
    </row>
    <row r="19" spans="2:9" ht="15">
      <c r="B19" s="359"/>
      <c r="C19" s="359"/>
      <c r="D19" s="359"/>
      <c r="E19" s="359"/>
      <c r="F19" s="359"/>
      <c r="G19" s="359"/>
      <c r="H19" s="359"/>
      <c r="I19" s="359"/>
    </row>
    <row r="20" spans="2:9" ht="15">
      <c r="B20" s="359" t="s">
        <v>444</v>
      </c>
      <c r="C20" s="359"/>
      <c r="D20" s="359"/>
      <c r="E20" s="359"/>
      <c r="F20" s="359"/>
      <c r="G20" s="359"/>
      <c r="H20" s="360"/>
      <c r="I20" s="361">
        <f>I11</f>
        <v>3698097</v>
      </c>
    </row>
    <row r="21" spans="2:9" ht="15">
      <c r="B21" s="359" t="s">
        <v>431</v>
      </c>
      <c r="C21" s="359"/>
      <c r="D21" s="359"/>
      <c r="E21" s="359"/>
      <c r="F21" s="359"/>
      <c r="G21" s="359"/>
      <c r="H21" s="359"/>
      <c r="I21" s="367"/>
    </row>
    <row r="22" spans="2:9" ht="15">
      <c r="B22" s="359" t="s">
        <v>432</v>
      </c>
      <c r="C22" s="359"/>
      <c r="D22" s="359"/>
      <c r="E22" s="359"/>
      <c r="F22" s="359"/>
      <c r="G22" s="359"/>
      <c r="H22" s="359"/>
      <c r="I22" s="363">
        <f>I23+I24</f>
        <v>732474</v>
      </c>
    </row>
    <row r="23" spans="2:9" ht="15">
      <c r="B23" s="359"/>
      <c r="C23" s="359"/>
      <c r="D23" s="359"/>
      <c r="E23" s="359"/>
      <c r="F23" s="364" t="s">
        <v>433</v>
      </c>
      <c r="G23" s="365" t="s">
        <v>434</v>
      </c>
      <c r="H23" s="359"/>
      <c r="I23" s="361">
        <f>124565+310000</f>
        <v>434565</v>
      </c>
    </row>
    <row r="24" spans="2:9" ht="15">
      <c r="B24" s="359"/>
      <c r="C24" s="359"/>
      <c r="D24" s="359"/>
      <c r="E24" s="359"/>
      <c r="F24" s="364" t="s">
        <v>435</v>
      </c>
      <c r="G24" s="365" t="s">
        <v>436</v>
      </c>
      <c r="H24" s="359"/>
      <c r="I24" s="361">
        <f>147909+150000</f>
        <v>297909</v>
      </c>
    </row>
    <row r="25" spans="2:9" ht="15">
      <c r="B25" s="359" t="s">
        <v>445</v>
      </c>
      <c r="C25" s="359"/>
      <c r="D25" s="359"/>
      <c r="E25" s="359"/>
      <c r="F25" s="359"/>
      <c r="G25" s="359"/>
      <c r="H25" s="359"/>
      <c r="I25" s="361">
        <f>I20+I21-I23</f>
        <v>3263532</v>
      </c>
    </row>
    <row r="26" spans="2:9" ht="15">
      <c r="B26" s="359" t="s">
        <v>446</v>
      </c>
      <c r="C26" s="359"/>
      <c r="D26" s="359"/>
      <c r="E26" s="359"/>
      <c r="F26" s="359"/>
      <c r="G26" s="359"/>
      <c r="H26" s="359"/>
      <c r="I26" s="361">
        <v>13500000</v>
      </c>
    </row>
    <row r="27" spans="2:9" ht="15">
      <c r="B27" s="359" t="s">
        <v>439</v>
      </c>
      <c r="C27" s="359"/>
      <c r="D27" s="359"/>
      <c r="E27" s="359"/>
      <c r="F27" s="359"/>
      <c r="G27" s="359"/>
      <c r="H27" s="359"/>
      <c r="I27" s="361"/>
    </row>
    <row r="28" spans="2:9" ht="15">
      <c r="B28" s="359" t="s">
        <v>447</v>
      </c>
      <c r="C28" s="359"/>
      <c r="D28" s="359"/>
      <c r="E28" s="359"/>
      <c r="F28" s="359"/>
      <c r="G28" s="359"/>
      <c r="H28" s="359"/>
      <c r="I28" s="366">
        <f>I22/I26</f>
        <v>0.05425733333333333</v>
      </c>
    </row>
    <row r="29" spans="2:9" ht="15">
      <c r="B29" s="359" t="s">
        <v>441</v>
      </c>
      <c r="C29" s="359"/>
      <c r="D29" s="359"/>
      <c r="E29" s="359"/>
      <c r="F29" s="359"/>
      <c r="G29" s="359"/>
      <c r="H29" s="359"/>
      <c r="I29" s="361"/>
    </row>
    <row r="30" spans="2:9" ht="15">
      <c r="B30" s="359" t="s">
        <v>442</v>
      </c>
      <c r="C30" s="359"/>
      <c r="D30" s="359"/>
      <c r="E30" s="359"/>
      <c r="F30" s="359"/>
      <c r="G30" s="359"/>
      <c r="H30" s="359"/>
      <c r="I30" s="366">
        <f>I25/I26</f>
        <v>0.2417431111111111</v>
      </c>
    </row>
    <row r="31" spans="2:9" ht="15">
      <c r="B31" s="359"/>
      <c r="C31" s="359"/>
      <c r="D31" s="359"/>
      <c r="E31" s="359"/>
      <c r="F31" s="359"/>
      <c r="G31" s="359"/>
      <c r="H31" s="359"/>
      <c r="I31" s="359"/>
    </row>
    <row r="32" spans="2:9" ht="15">
      <c r="B32" s="358" t="s">
        <v>448</v>
      </c>
      <c r="C32" s="359"/>
      <c r="D32" s="359"/>
      <c r="E32" s="359"/>
      <c r="F32" s="359"/>
      <c r="G32" s="359"/>
      <c r="H32" s="359"/>
      <c r="I32" s="359"/>
    </row>
    <row r="33" spans="2:9" ht="15">
      <c r="B33" s="359"/>
      <c r="C33" s="359"/>
      <c r="D33" s="359"/>
      <c r="E33" s="359"/>
      <c r="F33" s="359"/>
      <c r="G33" s="359"/>
      <c r="H33" s="359"/>
      <c r="I33" s="359"/>
    </row>
    <row r="34" spans="2:9" ht="15">
      <c r="B34" s="359" t="s">
        <v>444</v>
      </c>
      <c r="C34" s="359"/>
      <c r="D34" s="359"/>
      <c r="E34" s="359"/>
      <c r="F34" s="359"/>
      <c r="G34" s="359"/>
      <c r="H34" s="360"/>
      <c r="I34" s="361">
        <f>I25</f>
        <v>3263532</v>
      </c>
    </row>
    <row r="35" spans="2:9" ht="15">
      <c r="B35" s="359" t="s">
        <v>431</v>
      </c>
      <c r="C35" s="359"/>
      <c r="D35" s="359"/>
      <c r="E35" s="359"/>
      <c r="F35" s="359"/>
      <c r="G35" s="359"/>
      <c r="H35" s="359"/>
      <c r="I35" s="361">
        <v>0</v>
      </c>
    </row>
    <row r="36" spans="2:9" ht="15">
      <c r="B36" s="359" t="s">
        <v>432</v>
      </c>
      <c r="C36" s="359"/>
      <c r="D36" s="359"/>
      <c r="E36" s="359"/>
      <c r="F36" s="359"/>
      <c r="G36" s="359"/>
      <c r="H36" s="359"/>
      <c r="I36" s="363">
        <f>I37+I38</f>
        <v>739844</v>
      </c>
    </row>
    <row r="37" spans="2:9" ht="15">
      <c r="B37" s="359"/>
      <c r="C37" s="359"/>
      <c r="D37" s="359"/>
      <c r="E37" s="359"/>
      <c r="F37" s="364" t="s">
        <v>433</v>
      </c>
      <c r="G37" s="365" t="s">
        <v>434</v>
      </c>
      <c r="H37" s="359"/>
      <c r="I37" s="361">
        <f>133790+310000</f>
        <v>443790</v>
      </c>
    </row>
    <row r="38" spans="2:9" ht="15">
      <c r="B38" s="359"/>
      <c r="C38" s="359"/>
      <c r="D38" s="359"/>
      <c r="E38" s="359"/>
      <c r="F38" s="364" t="s">
        <v>435</v>
      </c>
      <c r="G38" s="365" t="s">
        <v>436</v>
      </c>
      <c r="H38" s="359"/>
      <c r="I38" s="361">
        <f>141054+155000</f>
        <v>296054</v>
      </c>
    </row>
    <row r="39" spans="2:9" ht="15">
      <c r="B39" s="359" t="s">
        <v>449</v>
      </c>
      <c r="C39" s="359"/>
      <c r="D39" s="359"/>
      <c r="E39" s="359"/>
      <c r="F39" s="359"/>
      <c r="G39" s="359"/>
      <c r="H39" s="359"/>
      <c r="I39" s="361">
        <f>I34+I35-I37</f>
        <v>2819742</v>
      </c>
    </row>
    <row r="40" spans="2:9" ht="15">
      <c r="B40" s="359" t="s">
        <v>450</v>
      </c>
      <c r="C40" s="359"/>
      <c r="D40" s="359"/>
      <c r="E40" s="359"/>
      <c r="F40" s="359"/>
      <c r="G40" s="359"/>
      <c r="H40" s="359"/>
      <c r="I40" s="361">
        <v>13500000</v>
      </c>
    </row>
    <row r="41" spans="2:9" ht="15">
      <c r="B41" s="359" t="s">
        <v>439</v>
      </c>
      <c r="C41" s="359"/>
      <c r="D41" s="359"/>
      <c r="E41" s="359"/>
      <c r="F41" s="359"/>
      <c r="G41" s="359"/>
      <c r="H41" s="359"/>
      <c r="I41" s="361"/>
    </row>
    <row r="42" spans="2:9" ht="15">
      <c r="B42" s="359" t="s">
        <v>451</v>
      </c>
      <c r="C42" s="359"/>
      <c r="D42" s="359"/>
      <c r="E42" s="359"/>
      <c r="F42" s="359"/>
      <c r="G42" s="359"/>
      <c r="H42" s="359"/>
      <c r="I42" s="366">
        <f>I36/I40</f>
        <v>0.05480325925925926</v>
      </c>
    </row>
    <row r="43" spans="2:9" ht="15">
      <c r="B43" s="359" t="s">
        <v>441</v>
      </c>
      <c r="C43" s="359"/>
      <c r="D43" s="359"/>
      <c r="E43" s="359"/>
      <c r="F43" s="359"/>
      <c r="G43" s="359"/>
      <c r="H43" s="359"/>
      <c r="I43" s="361"/>
    </row>
    <row r="44" spans="2:9" ht="15">
      <c r="B44" s="359" t="s">
        <v>442</v>
      </c>
      <c r="C44" s="359"/>
      <c r="D44" s="359"/>
      <c r="E44" s="359"/>
      <c r="F44" s="359"/>
      <c r="G44" s="359"/>
      <c r="H44" s="359"/>
      <c r="I44" s="366">
        <f>I39/I40</f>
        <v>0.20886977777777777</v>
      </c>
    </row>
    <row r="45" spans="2:9" ht="15">
      <c r="B45" s="359"/>
      <c r="C45" s="359"/>
      <c r="D45" s="359"/>
      <c r="E45" s="359"/>
      <c r="F45" s="359"/>
      <c r="G45" s="359"/>
      <c r="H45" s="359"/>
      <c r="I45" s="359"/>
    </row>
    <row r="46" spans="2:9" ht="15">
      <c r="B46" s="358" t="s">
        <v>452</v>
      </c>
      <c r="C46" s="359"/>
      <c r="D46" s="359"/>
      <c r="E46" s="359"/>
      <c r="F46" s="359"/>
      <c r="G46" s="359"/>
      <c r="H46" s="359"/>
      <c r="I46" s="359"/>
    </row>
    <row r="47" spans="2:9" ht="15">
      <c r="B47" s="359"/>
      <c r="C47" s="359"/>
      <c r="D47" s="359"/>
      <c r="E47" s="359"/>
      <c r="F47" s="359"/>
      <c r="G47" s="359"/>
      <c r="H47" s="359"/>
      <c r="I47" s="359"/>
    </row>
    <row r="48" spans="2:9" ht="15">
      <c r="B48" s="359" t="s">
        <v>444</v>
      </c>
      <c r="C48" s="359"/>
      <c r="D48" s="359"/>
      <c r="E48" s="359"/>
      <c r="F48" s="359"/>
      <c r="G48" s="359"/>
      <c r="H48" s="360"/>
      <c r="I48" s="361">
        <f>I39</f>
        <v>2819742</v>
      </c>
    </row>
    <row r="49" spans="2:9" ht="15">
      <c r="B49" s="359" t="s">
        <v>431</v>
      </c>
      <c r="C49" s="359"/>
      <c r="D49" s="359"/>
      <c r="E49" s="359"/>
      <c r="F49" s="359"/>
      <c r="G49" s="359"/>
      <c r="H49" s="359"/>
      <c r="I49" s="361">
        <v>0</v>
      </c>
    </row>
    <row r="50" spans="2:9" ht="15">
      <c r="B50" s="359" t="s">
        <v>432</v>
      </c>
      <c r="C50" s="359"/>
      <c r="D50" s="359"/>
      <c r="E50" s="359"/>
      <c r="F50" s="359"/>
      <c r="G50" s="359"/>
      <c r="H50" s="359"/>
      <c r="I50" s="363">
        <f>I51+I52</f>
        <v>696314</v>
      </c>
    </row>
    <row r="51" spans="2:9" ht="15">
      <c r="B51" s="359"/>
      <c r="C51" s="359"/>
      <c r="D51" s="359"/>
      <c r="E51" s="359"/>
      <c r="F51" s="364" t="s">
        <v>433</v>
      </c>
      <c r="G51" s="365" t="s">
        <v>434</v>
      </c>
      <c r="H51" s="359"/>
      <c r="I51" s="361">
        <f>102565+310000</f>
        <v>412565</v>
      </c>
    </row>
    <row r="52" spans="2:9" ht="15">
      <c r="B52" s="359"/>
      <c r="C52" s="359"/>
      <c r="D52" s="359"/>
      <c r="E52" s="359"/>
      <c r="F52" s="364" t="s">
        <v>435</v>
      </c>
      <c r="G52" s="365" t="s">
        <v>436</v>
      </c>
      <c r="H52" s="359"/>
      <c r="I52" s="361">
        <f>133749+150000</f>
        <v>283749</v>
      </c>
    </row>
    <row r="53" spans="2:9" ht="15">
      <c r="B53" s="359" t="s">
        <v>453</v>
      </c>
      <c r="C53" s="359"/>
      <c r="D53" s="359"/>
      <c r="E53" s="359"/>
      <c r="F53" s="359"/>
      <c r="G53" s="359"/>
      <c r="H53" s="359"/>
      <c r="I53" s="361">
        <f>I48+I49-I51</f>
        <v>2407177</v>
      </c>
    </row>
    <row r="54" spans="2:9" ht="15">
      <c r="B54" s="359" t="s">
        <v>454</v>
      </c>
      <c r="C54" s="359"/>
      <c r="D54" s="359"/>
      <c r="E54" s="359"/>
      <c r="F54" s="359"/>
      <c r="G54" s="359"/>
      <c r="H54" s="359"/>
      <c r="I54" s="361">
        <v>13500000</v>
      </c>
    </row>
    <row r="55" spans="2:9" ht="15">
      <c r="B55" s="359" t="s">
        <v>439</v>
      </c>
      <c r="C55" s="359"/>
      <c r="D55" s="359"/>
      <c r="E55" s="359"/>
      <c r="F55" s="359"/>
      <c r="G55" s="359"/>
      <c r="H55" s="359"/>
      <c r="I55" s="361"/>
    </row>
    <row r="56" spans="2:9" ht="15">
      <c r="B56" s="359" t="s">
        <v>455</v>
      </c>
      <c r="C56" s="359"/>
      <c r="D56" s="359"/>
      <c r="E56" s="359"/>
      <c r="F56" s="359"/>
      <c r="G56" s="359"/>
      <c r="H56" s="359"/>
      <c r="I56" s="366">
        <f>I50/I54</f>
        <v>0.05157881481481481</v>
      </c>
    </row>
    <row r="57" spans="2:9" ht="15">
      <c r="B57" s="359" t="s">
        <v>441</v>
      </c>
      <c r="C57" s="359"/>
      <c r="D57" s="359"/>
      <c r="E57" s="359"/>
      <c r="F57" s="359"/>
      <c r="G57" s="359"/>
      <c r="H57" s="359"/>
      <c r="I57" s="361"/>
    </row>
    <row r="58" spans="2:9" ht="15">
      <c r="B58" s="359" t="s">
        <v>442</v>
      </c>
      <c r="C58" s="359"/>
      <c r="D58" s="359"/>
      <c r="E58" s="359"/>
      <c r="F58" s="359"/>
      <c r="G58" s="359"/>
      <c r="H58" s="359"/>
      <c r="I58" s="366">
        <f>I53/I54</f>
        <v>0.17830940740740742</v>
      </c>
    </row>
    <row r="59" spans="2:9" ht="15">
      <c r="B59" s="359"/>
      <c r="C59" s="359"/>
      <c r="D59" s="359"/>
      <c r="E59" s="359"/>
      <c r="F59" s="359"/>
      <c r="G59" s="359"/>
      <c r="H59" s="359"/>
      <c r="I59" s="359"/>
    </row>
    <row r="60" spans="2:9" ht="15">
      <c r="B60" s="358" t="s">
        <v>456</v>
      </c>
      <c r="C60" s="359"/>
      <c r="D60" s="359"/>
      <c r="E60" s="359"/>
      <c r="F60" s="359"/>
      <c r="G60" s="359"/>
      <c r="H60" s="359"/>
      <c r="I60" s="359"/>
    </row>
    <row r="61" spans="2:9" ht="15">
      <c r="B61" s="359"/>
      <c r="C61" s="359"/>
      <c r="D61" s="359"/>
      <c r="E61" s="359"/>
      <c r="F61" s="359"/>
      <c r="G61" s="359"/>
      <c r="H61" s="359"/>
      <c r="I61" s="359"/>
    </row>
    <row r="62" spans="2:9" ht="15">
      <c r="B62" s="359" t="s">
        <v>444</v>
      </c>
      <c r="C62" s="359"/>
      <c r="D62" s="359"/>
      <c r="E62" s="359"/>
      <c r="F62" s="359"/>
      <c r="G62" s="359"/>
      <c r="H62" s="360"/>
      <c r="I62" s="361">
        <f>I53</f>
        <v>2407177</v>
      </c>
    </row>
    <row r="63" spans="2:9" ht="15">
      <c r="B63" s="359" t="s">
        <v>431</v>
      </c>
      <c r="C63" s="359"/>
      <c r="D63" s="359"/>
      <c r="E63" s="359"/>
      <c r="F63" s="359"/>
      <c r="G63" s="359"/>
      <c r="H63" s="359"/>
      <c r="I63" s="361">
        <v>0</v>
      </c>
    </row>
    <row r="64" spans="2:9" ht="15">
      <c r="B64" s="359" t="s">
        <v>432</v>
      </c>
      <c r="C64" s="359"/>
      <c r="D64" s="359"/>
      <c r="E64" s="359"/>
      <c r="F64" s="359"/>
      <c r="G64" s="359"/>
      <c r="H64" s="359"/>
      <c r="I64" s="363">
        <f>I65+I66</f>
        <v>685108</v>
      </c>
    </row>
    <row r="65" spans="2:9" ht="15">
      <c r="B65" s="359"/>
      <c r="C65" s="359"/>
      <c r="D65" s="359"/>
      <c r="E65" s="359"/>
      <c r="F65" s="364" t="s">
        <v>433</v>
      </c>
      <c r="G65" s="365" t="s">
        <v>434</v>
      </c>
      <c r="H65" s="359"/>
      <c r="I65" s="361">
        <f>102564+310000</f>
        <v>412564</v>
      </c>
    </row>
    <row r="66" spans="2:9" ht="15">
      <c r="B66" s="359"/>
      <c r="C66" s="359"/>
      <c r="D66" s="359"/>
      <c r="E66" s="359"/>
      <c r="F66" s="364" t="s">
        <v>435</v>
      </c>
      <c r="G66" s="365" t="s">
        <v>436</v>
      </c>
      <c r="H66" s="359"/>
      <c r="I66" s="361">
        <f>127544+145000</f>
        <v>272544</v>
      </c>
    </row>
    <row r="67" spans="2:9" ht="15">
      <c r="B67" s="359" t="s">
        <v>457</v>
      </c>
      <c r="C67" s="359"/>
      <c r="D67" s="359"/>
      <c r="E67" s="359"/>
      <c r="F67" s="359"/>
      <c r="G67" s="359"/>
      <c r="H67" s="359"/>
      <c r="I67" s="361">
        <f>I62+I63-I65</f>
        <v>1994613</v>
      </c>
    </row>
    <row r="68" spans="2:9" ht="15">
      <c r="B68" s="359" t="s">
        <v>458</v>
      </c>
      <c r="C68" s="359"/>
      <c r="D68" s="359"/>
      <c r="E68" s="359"/>
      <c r="F68" s="359"/>
      <c r="G68" s="359"/>
      <c r="H68" s="359"/>
      <c r="I68" s="361">
        <v>13500000</v>
      </c>
    </row>
    <row r="69" spans="2:9" ht="15">
      <c r="B69" s="359" t="s">
        <v>439</v>
      </c>
      <c r="C69" s="359"/>
      <c r="D69" s="359"/>
      <c r="E69" s="359"/>
      <c r="F69" s="359"/>
      <c r="G69" s="359"/>
      <c r="H69" s="359"/>
      <c r="I69" s="361"/>
    </row>
    <row r="70" spans="2:9" ht="15">
      <c r="B70" s="359" t="s">
        <v>459</v>
      </c>
      <c r="C70" s="359"/>
      <c r="D70" s="359"/>
      <c r="E70" s="359"/>
      <c r="F70" s="359"/>
      <c r="G70" s="359"/>
      <c r="H70" s="359"/>
      <c r="I70" s="366">
        <f>I64/I68</f>
        <v>0.05074874074074074</v>
      </c>
    </row>
    <row r="71" spans="2:9" ht="15">
      <c r="B71" s="359" t="s">
        <v>441</v>
      </c>
      <c r="C71" s="359"/>
      <c r="D71" s="359"/>
      <c r="E71" s="359"/>
      <c r="F71" s="359"/>
      <c r="G71" s="359"/>
      <c r="H71" s="359"/>
      <c r="I71" s="361"/>
    </row>
    <row r="72" spans="2:9" ht="15">
      <c r="B72" s="359" t="s">
        <v>442</v>
      </c>
      <c r="C72" s="359"/>
      <c r="D72" s="359"/>
      <c r="E72" s="359"/>
      <c r="F72" s="359"/>
      <c r="G72" s="359"/>
      <c r="H72" s="359"/>
      <c r="I72" s="366">
        <f>I67/I68</f>
        <v>0.1477491111111111</v>
      </c>
    </row>
    <row r="73" spans="2:9" ht="15">
      <c r="B73" s="359"/>
      <c r="C73" s="359"/>
      <c r="D73" s="359"/>
      <c r="E73" s="359"/>
      <c r="F73" s="359"/>
      <c r="G73" s="359"/>
      <c r="H73" s="359"/>
      <c r="I73" s="359"/>
    </row>
    <row r="74" spans="2:9" ht="15">
      <c r="B74" s="358" t="s">
        <v>460</v>
      </c>
      <c r="C74" s="359"/>
      <c r="D74" s="359"/>
      <c r="E74" s="359"/>
      <c r="F74" s="359"/>
      <c r="G74" s="359"/>
      <c r="H74" s="359"/>
      <c r="I74" s="359"/>
    </row>
    <row r="75" spans="2:9" ht="15">
      <c r="B75" s="359"/>
      <c r="C75" s="359"/>
      <c r="D75" s="359"/>
      <c r="E75" s="359"/>
      <c r="F75" s="359"/>
      <c r="G75" s="359"/>
      <c r="H75" s="359"/>
      <c r="I75" s="359"/>
    </row>
    <row r="76" spans="2:9" ht="15">
      <c r="B76" s="359" t="s">
        <v>444</v>
      </c>
      <c r="C76" s="359"/>
      <c r="D76" s="359"/>
      <c r="E76" s="359"/>
      <c r="F76" s="359"/>
      <c r="G76" s="359"/>
      <c r="H76" s="360"/>
      <c r="I76" s="361">
        <f>I67</f>
        <v>1994613</v>
      </c>
    </row>
    <row r="77" spans="2:9" ht="15">
      <c r="B77" s="359" t="s">
        <v>431</v>
      </c>
      <c r="C77" s="359"/>
      <c r="D77" s="359"/>
      <c r="E77" s="359"/>
      <c r="F77" s="359"/>
      <c r="G77" s="359"/>
      <c r="H77" s="359"/>
      <c r="I77" s="361">
        <v>0</v>
      </c>
    </row>
    <row r="78" spans="2:9" ht="15">
      <c r="B78" s="359" t="s">
        <v>432</v>
      </c>
      <c r="C78" s="359"/>
      <c r="D78" s="359"/>
      <c r="E78" s="359"/>
      <c r="F78" s="359"/>
      <c r="G78" s="359"/>
      <c r="H78" s="359"/>
      <c r="I78" s="363">
        <f>I79+I80</f>
        <v>673904</v>
      </c>
    </row>
    <row r="79" spans="2:9" ht="15">
      <c r="B79" s="359"/>
      <c r="C79" s="359"/>
      <c r="D79" s="359"/>
      <c r="E79" s="359"/>
      <c r="F79" s="364" t="s">
        <v>433</v>
      </c>
      <c r="G79" s="365" t="s">
        <v>434</v>
      </c>
      <c r="H79" s="359"/>
      <c r="I79" s="361">
        <f>102565+310000</f>
        <v>412565</v>
      </c>
    </row>
    <row r="80" spans="2:9" ht="15">
      <c r="B80" s="359"/>
      <c r="C80" s="359"/>
      <c r="D80" s="359"/>
      <c r="E80" s="359"/>
      <c r="F80" s="364" t="s">
        <v>435</v>
      </c>
      <c r="G80" s="365" t="s">
        <v>436</v>
      </c>
      <c r="H80" s="359"/>
      <c r="I80" s="361">
        <f>121339+140000</f>
        <v>261339</v>
      </c>
    </row>
    <row r="81" spans="2:9" ht="15">
      <c r="B81" s="359" t="s">
        <v>461</v>
      </c>
      <c r="C81" s="359"/>
      <c r="D81" s="359"/>
      <c r="E81" s="359"/>
      <c r="F81" s="359"/>
      <c r="G81" s="359"/>
      <c r="H81" s="359"/>
      <c r="I81" s="361">
        <f>I76+I77-I79</f>
        <v>1582048</v>
      </c>
    </row>
    <row r="82" spans="2:9" ht="15">
      <c r="B82" s="359" t="s">
        <v>462</v>
      </c>
      <c r="C82" s="359"/>
      <c r="D82" s="359"/>
      <c r="E82" s="359"/>
      <c r="F82" s="359"/>
      <c r="G82" s="359"/>
      <c r="H82" s="359"/>
      <c r="I82" s="361">
        <v>13500000</v>
      </c>
    </row>
    <row r="83" spans="2:9" ht="15">
      <c r="B83" s="359" t="s">
        <v>439</v>
      </c>
      <c r="C83" s="359"/>
      <c r="D83" s="359"/>
      <c r="E83" s="359"/>
      <c r="F83" s="359"/>
      <c r="G83" s="359"/>
      <c r="H83" s="359"/>
      <c r="I83" s="361"/>
    </row>
    <row r="84" spans="2:9" ht="15">
      <c r="B84" s="359" t="s">
        <v>463</v>
      </c>
      <c r="C84" s="359"/>
      <c r="D84" s="359"/>
      <c r="E84" s="359"/>
      <c r="F84" s="359"/>
      <c r="G84" s="359"/>
      <c r="H84" s="359"/>
      <c r="I84" s="366">
        <f>I78/I82</f>
        <v>0.04991881481481481</v>
      </c>
    </row>
    <row r="85" spans="2:9" ht="15">
      <c r="B85" s="359" t="s">
        <v>441</v>
      </c>
      <c r="C85" s="359"/>
      <c r="D85" s="359"/>
      <c r="E85" s="359"/>
      <c r="F85" s="359"/>
      <c r="G85" s="359"/>
      <c r="H85" s="359"/>
      <c r="I85" s="361"/>
    </row>
    <row r="86" spans="2:9" ht="15">
      <c r="B86" s="359" t="s">
        <v>442</v>
      </c>
      <c r="C86" s="359"/>
      <c r="D86" s="359"/>
      <c r="E86" s="359"/>
      <c r="F86" s="359"/>
      <c r="G86" s="359"/>
      <c r="H86" s="359"/>
      <c r="I86" s="366">
        <f>I81/I82</f>
        <v>0.11718874074074075</v>
      </c>
    </row>
    <row r="87" spans="2:9" ht="15">
      <c r="B87" s="359"/>
      <c r="C87" s="359"/>
      <c r="D87" s="359"/>
      <c r="E87" s="359"/>
      <c r="F87" s="359"/>
      <c r="G87" s="359"/>
      <c r="H87" s="359"/>
      <c r="I87" s="359"/>
    </row>
    <row r="88" spans="2:9" ht="15">
      <c r="B88" s="358" t="s">
        <v>464</v>
      </c>
      <c r="C88" s="359"/>
      <c r="D88" s="359"/>
      <c r="E88" s="359"/>
      <c r="F88" s="359"/>
      <c r="G88" s="359"/>
      <c r="H88" s="359"/>
      <c r="I88" s="359"/>
    </row>
    <row r="89" spans="2:9" ht="15">
      <c r="B89" s="359"/>
      <c r="C89" s="359"/>
      <c r="D89" s="359"/>
      <c r="E89" s="359"/>
      <c r="F89" s="359"/>
      <c r="G89" s="359"/>
      <c r="H89" s="359"/>
      <c r="I89" s="359"/>
    </row>
    <row r="90" spans="2:9" ht="15">
      <c r="B90" s="359" t="s">
        <v>444</v>
      </c>
      <c r="C90" s="359"/>
      <c r="D90" s="359"/>
      <c r="E90" s="359"/>
      <c r="F90" s="359"/>
      <c r="G90" s="359"/>
      <c r="H90" s="360"/>
      <c r="I90" s="361">
        <f>I81</f>
        <v>1582048</v>
      </c>
    </row>
    <row r="91" spans="2:9" ht="15">
      <c r="B91" s="359" t="s">
        <v>431</v>
      </c>
      <c r="C91" s="359"/>
      <c r="D91" s="359"/>
      <c r="E91" s="359"/>
      <c r="F91" s="359"/>
      <c r="G91" s="359"/>
      <c r="H91" s="359"/>
      <c r="I91" s="361">
        <v>0</v>
      </c>
    </row>
    <row r="92" spans="2:9" ht="15">
      <c r="B92" s="359" t="s">
        <v>432</v>
      </c>
      <c r="C92" s="359"/>
      <c r="D92" s="359"/>
      <c r="E92" s="359"/>
      <c r="F92" s="359"/>
      <c r="G92" s="359"/>
      <c r="H92" s="359"/>
      <c r="I92" s="363">
        <f>I93+I94</f>
        <v>627699</v>
      </c>
    </row>
    <row r="93" spans="2:9" ht="15">
      <c r="B93" s="359"/>
      <c r="C93" s="359"/>
      <c r="D93" s="359"/>
      <c r="E93" s="359"/>
      <c r="F93" s="364" t="s">
        <v>433</v>
      </c>
      <c r="G93" s="365" t="s">
        <v>434</v>
      </c>
      <c r="H93" s="359"/>
      <c r="I93" s="361">
        <f>102565+310000</f>
        <v>412565</v>
      </c>
    </row>
    <row r="94" spans="2:9" ht="15">
      <c r="B94" s="359"/>
      <c r="C94" s="359"/>
      <c r="D94" s="359"/>
      <c r="E94" s="359"/>
      <c r="F94" s="364" t="s">
        <v>435</v>
      </c>
      <c r="G94" s="365" t="s">
        <v>436</v>
      </c>
      <c r="H94" s="359"/>
      <c r="I94" s="361">
        <f>115134+100000</f>
        <v>215134</v>
      </c>
    </row>
    <row r="95" spans="2:9" ht="15">
      <c r="B95" s="359" t="s">
        <v>465</v>
      </c>
      <c r="C95" s="359"/>
      <c r="D95" s="359"/>
      <c r="E95" s="359"/>
      <c r="F95" s="359"/>
      <c r="G95" s="359"/>
      <c r="H95" s="359"/>
      <c r="I95" s="361">
        <f>I90+I91-I93</f>
        <v>1169483</v>
      </c>
    </row>
    <row r="96" spans="2:9" ht="15">
      <c r="B96" s="359" t="s">
        <v>466</v>
      </c>
      <c r="C96" s="359"/>
      <c r="D96" s="359"/>
      <c r="E96" s="359"/>
      <c r="F96" s="359"/>
      <c r="G96" s="359"/>
      <c r="H96" s="359"/>
      <c r="I96" s="361">
        <v>13500000</v>
      </c>
    </row>
    <row r="97" spans="2:9" ht="15">
      <c r="B97" s="359" t="s">
        <v>439</v>
      </c>
      <c r="C97" s="359"/>
      <c r="D97" s="359"/>
      <c r="E97" s="359"/>
      <c r="F97" s="359"/>
      <c r="G97" s="359"/>
      <c r="H97" s="359"/>
      <c r="I97" s="361"/>
    </row>
    <row r="98" spans="2:9" ht="15">
      <c r="B98" s="359" t="s">
        <v>467</v>
      </c>
      <c r="C98" s="359"/>
      <c r="D98" s="359"/>
      <c r="E98" s="359"/>
      <c r="F98" s="359"/>
      <c r="G98" s="359"/>
      <c r="H98" s="359"/>
      <c r="I98" s="366">
        <f>I92/I96</f>
        <v>0.046496222222222224</v>
      </c>
    </row>
    <row r="99" spans="2:9" ht="15">
      <c r="B99" s="359" t="s">
        <v>441</v>
      </c>
      <c r="C99" s="359"/>
      <c r="D99" s="359"/>
      <c r="E99" s="359"/>
      <c r="F99" s="359"/>
      <c r="G99" s="359"/>
      <c r="H99" s="359"/>
      <c r="I99" s="361"/>
    </row>
    <row r="100" spans="2:9" ht="15">
      <c r="B100" s="359" t="s">
        <v>442</v>
      </c>
      <c r="C100" s="359"/>
      <c r="D100" s="359"/>
      <c r="E100" s="359"/>
      <c r="F100" s="359"/>
      <c r="G100" s="359"/>
      <c r="H100" s="359"/>
      <c r="I100" s="366">
        <f>I95/I96</f>
        <v>0.08662837037037037</v>
      </c>
    </row>
    <row r="101" spans="2:9" ht="15">
      <c r="B101" s="359"/>
      <c r="C101" s="359"/>
      <c r="D101" s="359"/>
      <c r="E101" s="359"/>
      <c r="F101" s="359"/>
      <c r="G101" s="359"/>
      <c r="H101" s="359"/>
      <c r="I101" s="359"/>
    </row>
    <row r="102" spans="2:9" ht="15">
      <c r="B102" s="358" t="s">
        <v>468</v>
      </c>
      <c r="C102" s="359"/>
      <c r="D102" s="359"/>
      <c r="E102" s="359"/>
      <c r="F102" s="359"/>
      <c r="G102" s="359"/>
      <c r="H102" s="359"/>
      <c r="I102" s="359"/>
    </row>
    <row r="103" spans="2:9" ht="15">
      <c r="B103" s="359"/>
      <c r="C103" s="359"/>
      <c r="D103" s="359"/>
      <c r="E103" s="359"/>
      <c r="F103" s="359"/>
      <c r="G103" s="359"/>
      <c r="H103" s="359"/>
      <c r="I103" s="359"/>
    </row>
    <row r="104" spans="2:9" ht="15">
      <c r="B104" s="359" t="s">
        <v>444</v>
      </c>
      <c r="C104" s="359"/>
      <c r="D104" s="359"/>
      <c r="E104" s="359"/>
      <c r="F104" s="359"/>
      <c r="G104" s="359"/>
      <c r="H104" s="360"/>
      <c r="I104" s="361">
        <f>I95</f>
        <v>1169483</v>
      </c>
    </row>
    <row r="105" spans="2:9" ht="15">
      <c r="B105" s="359" t="s">
        <v>431</v>
      </c>
      <c r="C105" s="359"/>
      <c r="D105" s="359"/>
      <c r="E105" s="359"/>
      <c r="F105" s="359"/>
      <c r="G105" s="359"/>
      <c r="H105" s="359"/>
      <c r="I105" s="361">
        <v>0</v>
      </c>
    </row>
    <row r="106" spans="2:9" ht="15">
      <c r="B106" s="359" t="s">
        <v>432</v>
      </c>
      <c r="C106" s="359"/>
      <c r="D106" s="359"/>
      <c r="E106" s="359"/>
      <c r="F106" s="359"/>
      <c r="G106" s="359"/>
      <c r="H106" s="359"/>
      <c r="I106" s="363">
        <f>I107+I108</f>
        <v>611494</v>
      </c>
    </row>
    <row r="107" spans="2:9" ht="15">
      <c r="B107" s="359"/>
      <c r="C107" s="359"/>
      <c r="D107" s="359"/>
      <c r="E107" s="359"/>
      <c r="F107" s="364" t="s">
        <v>433</v>
      </c>
      <c r="G107" s="365" t="s">
        <v>434</v>
      </c>
      <c r="H107" s="359"/>
      <c r="I107" s="361">
        <f>102565+310000</f>
        <v>412565</v>
      </c>
    </row>
    <row r="108" spans="2:9" ht="15">
      <c r="B108" s="359"/>
      <c r="C108" s="359"/>
      <c r="D108" s="359"/>
      <c r="E108" s="359"/>
      <c r="F108" s="364" t="s">
        <v>435</v>
      </c>
      <c r="G108" s="365" t="s">
        <v>436</v>
      </c>
      <c r="H108" s="359"/>
      <c r="I108" s="361">
        <f>108929+90000</f>
        <v>198929</v>
      </c>
    </row>
    <row r="109" spans="2:9" ht="15">
      <c r="B109" s="359" t="s">
        <v>469</v>
      </c>
      <c r="C109" s="359"/>
      <c r="D109" s="359"/>
      <c r="E109" s="359"/>
      <c r="F109" s="359"/>
      <c r="G109" s="359"/>
      <c r="H109" s="359"/>
      <c r="I109" s="361">
        <f>I104+I105-I107</f>
        <v>756918</v>
      </c>
    </row>
    <row r="110" spans="2:9" ht="15">
      <c r="B110" s="359" t="s">
        <v>470</v>
      </c>
      <c r="C110" s="359"/>
      <c r="D110" s="359"/>
      <c r="E110" s="359"/>
      <c r="F110" s="359"/>
      <c r="G110" s="359"/>
      <c r="H110" s="359"/>
      <c r="I110" s="361">
        <v>13500000</v>
      </c>
    </row>
    <row r="111" spans="2:9" ht="15">
      <c r="B111" s="359" t="s">
        <v>439</v>
      </c>
      <c r="C111" s="359"/>
      <c r="D111" s="359"/>
      <c r="E111" s="359"/>
      <c r="F111" s="359"/>
      <c r="G111" s="359"/>
      <c r="H111" s="359"/>
      <c r="I111" s="361"/>
    </row>
    <row r="112" spans="2:9" ht="15">
      <c r="B112" s="359" t="s">
        <v>471</v>
      </c>
      <c r="C112" s="359"/>
      <c r="D112" s="359"/>
      <c r="E112" s="359"/>
      <c r="F112" s="359"/>
      <c r="G112" s="359"/>
      <c r="H112" s="359"/>
      <c r="I112" s="366">
        <f>I106/I110</f>
        <v>0.04529585185185185</v>
      </c>
    </row>
    <row r="113" spans="2:9" ht="15">
      <c r="B113" s="359" t="s">
        <v>441</v>
      </c>
      <c r="C113" s="359"/>
      <c r="D113" s="359"/>
      <c r="E113" s="359"/>
      <c r="F113" s="359"/>
      <c r="G113" s="359"/>
      <c r="H113" s="359"/>
      <c r="I113" s="361"/>
    </row>
    <row r="114" spans="2:9" ht="15">
      <c r="B114" s="359" t="s">
        <v>442</v>
      </c>
      <c r="C114" s="359"/>
      <c r="D114" s="359"/>
      <c r="E114" s="359"/>
      <c r="F114" s="359"/>
      <c r="G114" s="359"/>
      <c r="H114" s="359"/>
      <c r="I114" s="366">
        <f>I109/I110</f>
        <v>0.056068</v>
      </c>
    </row>
    <row r="115" spans="2:9" ht="15">
      <c r="B115" s="359"/>
      <c r="C115" s="359"/>
      <c r="D115" s="359"/>
      <c r="E115" s="359"/>
      <c r="F115" s="359"/>
      <c r="G115" s="359"/>
      <c r="H115" s="359"/>
      <c r="I115" s="359"/>
    </row>
    <row r="116" spans="2:9" ht="15">
      <c r="B116" s="358" t="s">
        <v>472</v>
      </c>
      <c r="C116" s="359"/>
      <c r="D116" s="359"/>
      <c r="E116" s="359"/>
      <c r="F116" s="359"/>
      <c r="G116" s="359"/>
      <c r="H116" s="359"/>
      <c r="I116" s="359"/>
    </row>
    <row r="117" spans="2:9" ht="15">
      <c r="B117" s="359"/>
      <c r="C117" s="359"/>
      <c r="D117" s="359"/>
      <c r="E117" s="359"/>
      <c r="F117" s="359"/>
      <c r="G117" s="359"/>
      <c r="H117" s="359"/>
      <c r="I117" s="359"/>
    </row>
    <row r="118" spans="2:9" ht="15">
      <c r="B118" s="359" t="s">
        <v>444</v>
      </c>
      <c r="C118" s="359"/>
      <c r="D118" s="359"/>
      <c r="E118" s="359"/>
      <c r="F118" s="359"/>
      <c r="G118" s="359"/>
      <c r="H118" s="360"/>
      <c r="I118" s="361">
        <f>I109</f>
        <v>756918</v>
      </c>
    </row>
    <row r="119" spans="2:9" ht="15">
      <c r="B119" s="359" t="s">
        <v>431</v>
      </c>
      <c r="C119" s="359"/>
      <c r="D119" s="359"/>
      <c r="E119" s="359"/>
      <c r="F119" s="359"/>
      <c r="G119" s="359"/>
      <c r="H119" s="359"/>
      <c r="I119" s="361">
        <v>0</v>
      </c>
    </row>
    <row r="120" spans="2:9" ht="15">
      <c r="B120" s="359" t="s">
        <v>432</v>
      </c>
      <c r="C120" s="359"/>
      <c r="D120" s="359"/>
      <c r="E120" s="359"/>
      <c r="F120" s="359"/>
      <c r="G120" s="359"/>
      <c r="H120" s="359"/>
      <c r="I120" s="363">
        <f>I121+I122</f>
        <v>559413</v>
      </c>
    </row>
    <row r="121" spans="2:9" ht="15">
      <c r="B121" s="359"/>
      <c r="C121" s="359"/>
      <c r="D121" s="359"/>
      <c r="E121" s="359"/>
      <c r="F121" s="364" t="s">
        <v>433</v>
      </c>
      <c r="G121" s="365" t="s">
        <v>434</v>
      </c>
      <c r="H121" s="359"/>
      <c r="I121" s="361">
        <f>76918+310000</f>
        <v>386918</v>
      </c>
    </row>
    <row r="122" spans="2:9" ht="15">
      <c r="B122" s="359"/>
      <c r="C122" s="359"/>
      <c r="D122" s="359"/>
      <c r="E122" s="359"/>
      <c r="F122" s="364" t="s">
        <v>435</v>
      </c>
      <c r="G122" s="365" t="s">
        <v>436</v>
      </c>
      <c r="H122" s="359"/>
      <c r="I122" s="361">
        <f>102495+70000</f>
        <v>172495</v>
      </c>
    </row>
    <row r="123" spans="2:9" ht="15">
      <c r="B123" s="359" t="s">
        <v>473</v>
      </c>
      <c r="C123" s="359"/>
      <c r="D123" s="359"/>
      <c r="E123" s="359"/>
      <c r="F123" s="359"/>
      <c r="G123" s="359"/>
      <c r="H123" s="359"/>
      <c r="I123" s="361">
        <f>I118+I119-I121</f>
        <v>370000</v>
      </c>
    </row>
    <row r="124" spans="2:9" ht="15">
      <c r="B124" s="359" t="s">
        <v>474</v>
      </c>
      <c r="C124" s="359"/>
      <c r="D124" s="359"/>
      <c r="E124" s="359"/>
      <c r="F124" s="359"/>
      <c r="G124" s="359"/>
      <c r="H124" s="359"/>
      <c r="I124" s="361">
        <v>13500000</v>
      </c>
    </row>
    <row r="125" spans="2:9" ht="15">
      <c r="B125" s="359" t="s">
        <v>439</v>
      </c>
      <c r="C125" s="359"/>
      <c r="D125" s="359"/>
      <c r="E125" s="359"/>
      <c r="F125" s="359"/>
      <c r="G125" s="359"/>
      <c r="H125" s="359"/>
      <c r="I125" s="361"/>
    </row>
    <row r="126" spans="2:9" ht="15">
      <c r="B126" s="359" t="s">
        <v>475</v>
      </c>
      <c r="C126" s="359"/>
      <c r="D126" s="359"/>
      <c r="E126" s="359"/>
      <c r="F126" s="359"/>
      <c r="G126" s="359"/>
      <c r="H126" s="359"/>
      <c r="I126" s="366">
        <f>I120/I124</f>
        <v>0.041438</v>
      </c>
    </row>
    <row r="127" spans="2:9" ht="15">
      <c r="B127" s="359" t="s">
        <v>441</v>
      </c>
      <c r="C127" s="359"/>
      <c r="D127" s="359"/>
      <c r="E127" s="359"/>
      <c r="F127" s="359"/>
      <c r="G127" s="359"/>
      <c r="H127" s="359"/>
      <c r="I127" s="361"/>
    </row>
    <row r="128" spans="2:9" ht="15">
      <c r="B128" s="359" t="s">
        <v>442</v>
      </c>
      <c r="C128" s="359"/>
      <c r="D128" s="359"/>
      <c r="E128" s="359"/>
      <c r="F128" s="359"/>
      <c r="G128" s="359"/>
      <c r="H128" s="359"/>
      <c r="I128" s="366">
        <f>I123/I124</f>
        <v>0.027407407407407408</v>
      </c>
    </row>
    <row r="129" spans="2:9" ht="15">
      <c r="B129" s="359"/>
      <c r="C129" s="359"/>
      <c r="D129" s="359"/>
      <c r="E129" s="359"/>
      <c r="F129" s="359"/>
      <c r="G129" s="359"/>
      <c r="H129" s="359"/>
      <c r="I129" s="359"/>
    </row>
    <row r="130" spans="2:9" ht="15">
      <c r="B130" s="358" t="s">
        <v>476</v>
      </c>
      <c r="C130" s="359"/>
      <c r="D130" s="359"/>
      <c r="E130" s="359"/>
      <c r="F130" s="359"/>
      <c r="G130" s="359"/>
      <c r="H130" s="359"/>
      <c r="I130" s="359"/>
    </row>
    <row r="131" spans="2:9" ht="15">
      <c r="B131" s="359"/>
      <c r="C131" s="359"/>
      <c r="D131" s="359"/>
      <c r="E131" s="359"/>
      <c r="F131" s="359"/>
      <c r="G131" s="359"/>
      <c r="H131" s="359"/>
      <c r="I131" s="359"/>
    </row>
    <row r="132" spans="2:9" ht="15">
      <c r="B132" s="359" t="s">
        <v>444</v>
      </c>
      <c r="C132" s="359"/>
      <c r="D132" s="359"/>
      <c r="E132" s="359"/>
      <c r="F132" s="359"/>
      <c r="G132" s="359"/>
      <c r="H132" s="360"/>
      <c r="I132" s="361">
        <f>I123</f>
        <v>370000</v>
      </c>
    </row>
    <row r="133" spans="2:9" ht="15">
      <c r="B133" s="359" t="s">
        <v>431</v>
      </c>
      <c r="C133" s="359"/>
      <c r="D133" s="359"/>
      <c r="E133" s="359"/>
      <c r="F133" s="359"/>
      <c r="G133" s="359"/>
      <c r="H133" s="359"/>
      <c r="I133" s="361">
        <v>0</v>
      </c>
    </row>
    <row r="134" spans="2:9" ht="15">
      <c r="B134" s="359" t="s">
        <v>432</v>
      </c>
      <c r="C134" s="359"/>
      <c r="D134" s="359"/>
      <c r="E134" s="359"/>
      <c r="F134" s="359"/>
      <c r="G134" s="359"/>
      <c r="H134" s="359"/>
      <c r="I134" s="363">
        <f>I135+I136</f>
        <v>345000</v>
      </c>
    </row>
    <row r="135" spans="2:9" ht="15">
      <c r="B135" s="359"/>
      <c r="C135" s="359"/>
      <c r="D135" s="359"/>
      <c r="E135" s="359"/>
      <c r="F135" s="364" t="s">
        <v>433</v>
      </c>
      <c r="G135" s="365" t="s">
        <v>434</v>
      </c>
      <c r="H135" s="359"/>
      <c r="I135" s="361">
        <v>310000</v>
      </c>
    </row>
    <row r="136" spans="2:9" ht="15">
      <c r="B136" s="359"/>
      <c r="C136" s="359"/>
      <c r="D136" s="359"/>
      <c r="E136" s="359"/>
      <c r="F136" s="364" t="s">
        <v>435</v>
      </c>
      <c r="G136" s="365" t="s">
        <v>436</v>
      </c>
      <c r="H136" s="359"/>
      <c r="I136" s="361">
        <v>35000</v>
      </c>
    </row>
    <row r="137" spans="2:9" ht="15">
      <c r="B137" s="359" t="s">
        <v>477</v>
      </c>
      <c r="C137" s="359"/>
      <c r="D137" s="359"/>
      <c r="E137" s="359"/>
      <c r="F137" s="359"/>
      <c r="G137" s="359"/>
      <c r="H137" s="359"/>
      <c r="I137" s="361">
        <f>I132+I133-I135</f>
        <v>60000</v>
      </c>
    </row>
    <row r="138" spans="2:9" ht="15">
      <c r="B138" s="359" t="s">
        <v>478</v>
      </c>
      <c r="C138" s="359"/>
      <c r="D138" s="359"/>
      <c r="E138" s="359"/>
      <c r="F138" s="359"/>
      <c r="G138" s="359"/>
      <c r="H138" s="359"/>
      <c r="I138" s="361">
        <v>13500000</v>
      </c>
    </row>
    <row r="139" spans="2:9" ht="15">
      <c r="B139" s="359" t="s">
        <v>439</v>
      </c>
      <c r="C139" s="359"/>
      <c r="D139" s="359"/>
      <c r="E139" s="359"/>
      <c r="F139" s="359"/>
      <c r="G139" s="359"/>
      <c r="H139" s="359"/>
      <c r="I139" s="361"/>
    </row>
    <row r="140" spans="2:9" ht="15">
      <c r="B140" s="359" t="s">
        <v>479</v>
      </c>
      <c r="C140" s="359"/>
      <c r="D140" s="359"/>
      <c r="E140" s="359"/>
      <c r="F140" s="359"/>
      <c r="G140" s="359"/>
      <c r="H140" s="359"/>
      <c r="I140" s="366">
        <f>I134/I138</f>
        <v>0.025555555555555557</v>
      </c>
    </row>
    <row r="141" spans="2:9" ht="15">
      <c r="B141" s="359" t="s">
        <v>441</v>
      </c>
      <c r="C141" s="359"/>
      <c r="D141" s="359"/>
      <c r="E141" s="359"/>
      <c r="F141" s="359"/>
      <c r="G141" s="359"/>
      <c r="H141" s="359"/>
      <c r="I141" s="361"/>
    </row>
    <row r="142" spans="2:9" ht="15">
      <c r="B142" s="359" t="s">
        <v>442</v>
      </c>
      <c r="C142" s="359"/>
      <c r="D142" s="359"/>
      <c r="E142" s="359"/>
      <c r="F142" s="359"/>
      <c r="G142" s="359"/>
      <c r="H142" s="359"/>
      <c r="I142" s="366">
        <f>I137/I138</f>
        <v>0.0044444444444444444</v>
      </c>
    </row>
    <row r="143" spans="2:9" ht="15">
      <c r="B143" s="359"/>
      <c r="C143" s="359"/>
      <c r="D143" s="359"/>
      <c r="E143" s="359"/>
      <c r="F143" s="359"/>
      <c r="G143" s="359"/>
      <c r="H143" s="359"/>
      <c r="I143" s="366"/>
    </row>
    <row r="144" spans="2:9" ht="15">
      <c r="B144" s="358" t="s">
        <v>480</v>
      </c>
      <c r="C144" s="359"/>
      <c r="D144" s="359"/>
      <c r="E144" s="359"/>
      <c r="F144" s="359"/>
      <c r="G144" s="359"/>
      <c r="H144" s="359"/>
      <c r="I144" s="359"/>
    </row>
    <row r="145" spans="2:9" ht="15">
      <c r="B145" s="359"/>
      <c r="C145" s="359"/>
      <c r="D145" s="359"/>
      <c r="E145" s="359"/>
      <c r="F145" s="359"/>
      <c r="G145" s="359"/>
      <c r="H145" s="359"/>
      <c r="I145" s="359"/>
    </row>
    <row r="146" spans="2:9" ht="15">
      <c r="B146" s="359" t="s">
        <v>444</v>
      </c>
      <c r="C146" s="359"/>
      <c r="D146" s="359"/>
      <c r="E146" s="359"/>
      <c r="F146" s="359"/>
      <c r="G146" s="359"/>
      <c r="H146" s="360"/>
      <c r="I146" s="361">
        <f>I137</f>
        <v>60000</v>
      </c>
    </row>
    <row r="147" spans="2:9" ht="15">
      <c r="B147" s="359" t="s">
        <v>431</v>
      </c>
      <c r="C147" s="359"/>
      <c r="D147" s="359"/>
      <c r="E147" s="359"/>
      <c r="F147" s="359"/>
      <c r="G147" s="359"/>
      <c r="H147" s="359"/>
      <c r="I147" s="361">
        <v>0</v>
      </c>
    </row>
    <row r="148" spans="2:9" ht="15">
      <c r="B148" s="359" t="s">
        <v>432</v>
      </c>
      <c r="C148" s="359"/>
      <c r="D148" s="359"/>
      <c r="E148" s="359"/>
      <c r="F148" s="359"/>
      <c r="G148" s="359"/>
      <c r="H148" s="359"/>
      <c r="I148" s="363">
        <f>I149+I150</f>
        <v>80000</v>
      </c>
    </row>
    <row r="149" spans="2:9" ht="15">
      <c r="B149" s="359"/>
      <c r="C149" s="359"/>
      <c r="D149" s="359"/>
      <c r="E149" s="359"/>
      <c r="F149" s="364" t="s">
        <v>433</v>
      </c>
      <c r="G149" s="365" t="s">
        <v>434</v>
      </c>
      <c r="H149" s="359"/>
      <c r="I149" s="361">
        <v>60000</v>
      </c>
    </row>
    <row r="150" spans="2:9" ht="15">
      <c r="B150" s="359"/>
      <c r="C150" s="359"/>
      <c r="D150" s="359"/>
      <c r="E150" s="359"/>
      <c r="F150" s="364" t="s">
        <v>435</v>
      </c>
      <c r="G150" s="365" t="s">
        <v>436</v>
      </c>
      <c r="H150" s="359"/>
      <c r="I150" s="361">
        <v>20000</v>
      </c>
    </row>
    <row r="151" spans="2:9" ht="15">
      <c r="B151" s="359" t="s">
        <v>481</v>
      </c>
      <c r="C151" s="359"/>
      <c r="D151" s="359"/>
      <c r="E151" s="359"/>
      <c r="F151" s="359"/>
      <c r="G151" s="359"/>
      <c r="H151" s="359"/>
      <c r="I151" s="361">
        <f>I146+I147-I149</f>
        <v>0</v>
      </c>
    </row>
    <row r="152" spans="2:9" ht="15">
      <c r="B152" s="359" t="s">
        <v>482</v>
      </c>
      <c r="C152" s="359"/>
      <c r="D152" s="359"/>
      <c r="E152" s="359"/>
      <c r="F152" s="359"/>
      <c r="G152" s="359"/>
      <c r="H152" s="359"/>
      <c r="I152" s="361">
        <v>13500000</v>
      </c>
    </row>
    <row r="153" spans="2:9" ht="15">
      <c r="B153" s="359" t="s">
        <v>439</v>
      </c>
      <c r="C153" s="359"/>
      <c r="D153" s="359"/>
      <c r="E153" s="359"/>
      <c r="F153" s="359"/>
      <c r="G153" s="359"/>
      <c r="H153" s="359"/>
      <c r="I153" s="361"/>
    </row>
    <row r="154" spans="2:9" ht="15">
      <c r="B154" s="359" t="s">
        <v>483</v>
      </c>
      <c r="C154" s="359"/>
      <c r="D154" s="359"/>
      <c r="E154" s="359"/>
      <c r="F154" s="359"/>
      <c r="G154" s="359"/>
      <c r="H154" s="359"/>
      <c r="I154" s="366">
        <f>I148/I152</f>
        <v>0.005925925925925926</v>
      </c>
    </row>
    <row r="155" spans="2:9" ht="15">
      <c r="B155" s="359" t="s">
        <v>441</v>
      </c>
      <c r="C155" s="359"/>
      <c r="D155" s="359"/>
      <c r="E155" s="359"/>
      <c r="F155" s="359"/>
      <c r="G155" s="359"/>
      <c r="H155" s="359"/>
      <c r="I155" s="361"/>
    </row>
    <row r="156" spans="2:9" ht="15">
      <c r="B156" s="359" t="s">
        <v>442</v>
      </c>
      <c r="C156" s="359"/>
      <c r="D156" s="359"/>
      <c r="E156" s="359"/>
      <c r="F156" s="359"/>
      <c r="G156" s="359"/>
      <c r="H156" s="359"/>
      <c r="I156" s="366">
        <f>I151/I152</f>
        <v>0</v>
      </c>
    </row>
    <row r="157" spans="2:9" ht="15">
      <c r="B157" s="359"/>
      <c r="C157" s="359"/>
      <c r="D157" s="359"/>
      <c r="E157" s="359"/>
      <c r="F157" s="359"/>
      <c r="G157" s="359"/>
      <c r="H157" s="359"/>
      <c r="I157" s="366"/>
    </row>
    <row r="158" spans="2:9" ht="15">
      <c r="B158" s="359"/>
      <c r="C158" s="359"/>
      <c r="D158" s="359"/>
      <c r="E158" s="359"/>
      <c r="F158" s="359"/>
      <c r="G158" s="359"/>
      <c r="H158" s="359"/>
      <c r="I158" s="359"/>
    </row>
    <row r="159" spans="2:9" ht="15">
      <c r="B159" s="358" t="s">
        <v>484</v>
      </c>
      <c r="C159" s="359"/>
      <c r="D159" s="359"/>
      <c r="E159" s="359"/>
      <c r="F159" s="359"/>
      <c r="G159" s="359"/>
      <c r="H159" s="359"/>
      <c r="I159" s="359"/>
    </row>
    <row r="160" spans="2:9" ht="15">
      <c r="B160" s="358" t="s">
        <v>485</v>
      </c>
      <c r="C160" s="359"/>
      <c r="D160" s="359"/>
      <c r="E160" s="359"/>
      <c r="F160" s="359"/>
      <c r="G160" s="359"/>
      <c r="H160" s="359"/>
      <c r="I160" s="359"/>
    </row>
    <row r="161" spans="2:9" ht="15">
      <c r="B161" s="359"/>
      <c r="C161" s="359"/>
      <c r="D161" s="359"/>
      <c r="E161" s="359"/>
      <c r="F161" s="359"/>
      <c r="G161" s="359"/>
      <c r="H161" s="359"/>
      <c r="I161" s="359"/>
    </row>
    <row r="162" spans="2:9" ht="15">
      <c r="B162" s="359"/>
      <c r="C162" s="359"/>
      <c r="D162" s="359"/>
      <c r="E162" s="359"/>
      <c r="F162" s="359"/>
      <c r="G162" s="359"/>
      <c r="H162" s="359"/>
      <c r="I162" s="359"/>
    </row>
    <row r="163" spans="2:9" ht="15">
      <c r="B163" s="359"/>
      <c r="C163" s="359"/>
      <c r="D163" s="359"/>
      <c r="E163" s="359"/>
      <c r="F163" s="359"/>
      <c r="G163" s="359"/>
      <c r="H163" s="359"/>
      <c r="I163" s="35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8"/>
  <sheetViews>
    <sheetView workbookViewId="0" topLeftCell="A7">
      <selection activeCell="A1" sqref="A1:IV16384"/>
    </sheetView>
  </sheetViews>
  <sheetFormatPr defaultColWidth="9.140625" defaultRowHeight="12.75"/>
  <cols>
    <col min="1" max="1" width="3.7109375" style="0" customWidth="1"/>
    <col min="2" max="2" width="13.140625" style="0" customWidth="1"/>
    <col min="4" max="4" width="11.28125" style="0" customWidth="1"/>
    <col min="5" max="5" width="6.00390625" style="0" customWidth="1"/>
    <col min="6" max="6" width="11.00390625" style="0" customWidth="1"/>
    <col min="7" max="7" width="11.421875" style="0" customWidth="1"/>
    <col min="8" max="8" width="20.140625" style="0" customWidth="1"/>
    <col min="9" max="9" width="10.28125" style="0" customWidth="1"/>
    <col min="10" max="10" width="16.8515625" style="0" customWidth="1"/>
    <col min="11" max="11" width="16.28125" style="0" customWidth="1"/>
  </cols>
  <sheetData>
    <row r="2" spans="2:10" ht="51">
      <c r="B2" s="172"/>
      <c r="C2" s="172"/>
      <c r="D2" s="172"/>
      <c r="E2" s="172"/>
      <c r="F2" s="172"/>
      <c r="G2" s="172"/>
      <c r="H2" s="5" t="s">
        <v>359</v>
      </c>
      <c r="I2" s="172"/>
      <c r="J2" s="5"/>
    </row>
    <row r="3" spans="2:10" ht="12.75">
      <c r="B3" s="172"/>
      <c r="C3" s="172"/>
      <c r="D3" s="172"/>
      <c r="E3" s="172"/>
      <c r="F3" s="172"/>
      <c r="G3" s="172"/>
      <c r="H3" s="172"/>
      <c r="I3" s="172"/>
      <c r="J3" s="5"/>
    </row>
    <row r="4" spans="2:10" ht="12.75">
      <c r="B4" s="172"/>
      <c r="C4" s="172"/>
      <c r="D4" s="172"/>
      <c r="E4" s="172"/>
      <c r="F4" s="172"/>
      <c r="G4" s="172"/>
      <c r="H4" s="172"/>
      <c r="I4" s="172"/>
      <c r="J4" s="5"/>
    </row>
    <row r="5" spans="2:10" ht="12.75">
      <c r="B5" s="172"/>
      <c r="C5" s="172"/>
      <c r="D5" s="172"/>
      <c r="E5" s="172"/>
      <c r="F5" s="172"/>
      <c r="G5" s="172"/>
      <c r="H5" s="172"/>
      <c r="I5" s="172"/>
      <c r="J5" s="5"/>
    </row>
    <row r="6" spans="2:10" ht="12.75">
      <c r="B6" s="172"/>
      <c r="C6" s="172"/>
      <c r="D6" s="172"/>
      <c r="E6" s="172"/>
      <c r="F6" s="172"/>
      <c r="G6" s="172"/>
      <c r="H6" s="172"/>
      <c r="I6" s="172"/>
      <c r="J6" s="172"/>
    </row>
    <row r="7" spans="2:11" ht="15.75">
      <c r="B7" s="319" t="s">
        <v>360</v>
      </c>
      <c r="C7" s="319"/>
      <c r="D7" s="319"/>
      <c r="E7" s="319"/>
      <c r="F7" s="319"/>
      <c r="G7" s="319"/>
      <c r="H7" s="319"/>
      <c r="I7" s="319"/>
      <c r="J7" s="192"/>
      <c r="K7" s="193"/>
    </row>
    <row r="8" spans="2:11" ht="15.75">
      <c r="B8" s="319" t="s">
        <v>361</v>
      </c>
      <c r="C8" s="319"/>
      <c r="D8" s="319"/>
      <c r="E8" s="319"/>
      <c r="F8" s="319"/>
      <c r="G8" s="319"/>
      <c r="H8" s="319"/>
      <c r="I8" s="319"/>
      <c r="J8" s="192"/>
      <c r="K8" s="193"/>
    </row>
    <row r="9" spans="2:11" ht="15.75">
      <c r="B9" s="319" t="s">
        <v>362</v>
      </c>
      <c r="C9" s="319"/>
      <c r="D9" s="319"/>
      <c r="E9" s="319"/>
      <c r="F9" s="319"/>
      <c r="G9" s="319"/>
      <c r="H9" s="319"/>
      <c r="I9" s="319"/>
      <c r="J9" s="192"/>
      <c r="K9" s="193"/>
    </row>
    <row r="10" spans="2:10" ht="12.75">
      <c r="B10" s="172"/>
      <c r="C10" s="172"/>
      <c r="D10" s="172"/>
      <c r="E10" s="172"/>
      <c r="F10" s="172"/>
      <c r="G10" s="172"/>
      <c r="H10" s="172"/>
      <c r="I10" s="172"/>
      <c r="J10" s="172"/>
    </row>
    <row r="11" spans="2:10" ht="12.75">
      <c r="B11" s="172"/>
      <c r="C11" s="172"/>
      <c r="D11" s="172"/>
      <c r="E11" s="172"/>
      <c r="F11" s="172"/>
      <c r="G11" s="172"/>
      <c r="H11" s="172"/>
      <c r="I11" s="172"/>
      <c r="J11" s="172"/>
    </row>
    <row r="12" spans="2:10" ht="12.75">
      <c r="B12" s="172"/>
      <c r="C12" s="172"/>
      <c r="D12" s="172"/>
      <c r="E12" s="172"/>
      <c r="F12" s="172"/>
      <c r="G12" s="172"/>
      <c r="H12" s="172"/>
      <c r="I12" s="172"/>
      <c r="J12" s="172"/>
    </row>
    <row r="13" spans="2:10" ht="12.75">
      <c r="B13" s="172"/>
      <c r="C13" s="172"/>
      <c r="D13" s="172"/>
      <c r="E13" s="172"/>
      <c r="F13" s="172"/>
      <c r="G13" s="172"/>
      <c r="H13" s="172"/>
      <c r="I13" s="172"/>
      <c r="J13" s="172"/>
    </row>
    <row r="14" spans="2:10" ht="12.75">
      <c r="B14" s="194" t="s">
        <v>363</v>
      </c>
      <c r="C14" s="194" t="s">
        <v>50</v>
      </c>
      <c r="D14" s="172"/>
      <c r="E14" s="172"/>
      <c r="F14" s="172"/>
      <c r="G14" s="172"/>
      <c r="H14" s="195">
        <f>H15</f>
        <v>18000</v>
      </c>
      <c r="I14" s="172"/>
      <c r="J14" s="195"/>
    </row>
    <row r="15" spans="2:10" ht="12.75">
      <c r="B15" s="194" t="s">
        <v>364</v>
      </c>
      <c r="C15" s="194" t="s">
        <v>51</v>
      </c>
      <c r="D15" s="172"/>
      <c r="E15" s="172"/>
      <c r="F15" s="172"/>
      <c r="G15" s="172"/>
      <c r="H15" s="196">
        <f>H16</f>
        <v>18000</v>
      </c>
      <c r="I15" s="172"/>
      <c r="J15" s="197"/>
    </row>
    <row r="16" spans="2:10" ht="12.75">
      <c r="B16" s="194" t="s">
        <v>365</v>
      </c>
      <c r="C16" s="194" t="s">
        <v>58</v>
      </c>
      <c r="D16" s="172"/>
      <c r="E16" s="172"/>
      <c r="F16" s="172"/>
      <c r="G16" s="172"/>
      <c r="H16" s="197">
        <v>18000</v>
      </c>
      <c r="I16" s="172"/>
      <c r="J16" s="197"/>
    </row>
    <row r="17" spans="2:10" ht="12.75">
      <c r="B17" s="172"/>
      <c r="C17" s="172"/>
      <c r="D17" s="172"/>
      <c r="E17" s="172"/>
      <c r="F17" s="172"/>
      <c r="G17" s="172"/>
      <c r="H17" s="172"/>
      <c r="I17" s="172"/>
      <c r="J17" s="198"/>
    </row>
    <row r="18" spans="2:10" ht="12.75">
      <c r="B18" s="172"/>
      <c r="C18" s="172"/>
      <c r="D18" s="172"/>
      <c r="E18" s="172"/>
      <c r="F18" s="172"/>
      <c r="G18" s="172"/>
      <c r="H18" s="172"/>
      <c r="I18" s="172"/>
      <c r="J18" s="198"/>
    </row>
    <row r="19" ht="12.75">
      <c r="J19" s="199"/>
    </row>
    <row r="20" spans="2:10" ht="12.75">
      <c r="B20" t="s">
        <v>366</v>
      </c>
      <c r="J20" s="199"/>
    </row>
    <row r="21" spans="2:10" ht="12.75">
      <c r="B21" t="s">
        <v>367</v>
      </c>
      <c r="J21" s="199"/>
    </row>
    <row r="22" spans="2:10" ht="12.75">
      <c r="B22" t="s">
        <v>368</v>
      </c>
      <c r="J22" s="199"/>
    </row>
    <row r="23" ht="12.75">
      <c r="J23" s="199"/>
    </row>
    <row r="24" ht="12.75">
      <c r="J24" s="199"/>
    </row>
    <row r="25" ht="12.75">
      <c r="J25" s="199"/>
    </row>
    <row r="26" ht="12.75">
      <c r="J26" s="199"/>
    </row>
    <row r="27" ht="12.75">
      <c r="J27" s="199"/>
    </row>
    <row r="28" ht="12.75">
      <c r="J28" s="199"/>
    </row>
  </sheetData>
  <mergeCells count="3">
    <mergeCell ref="B7:I7"/>
    <mergeCell ref="B8:I8"/>
    <mergeCell ref="B9:I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D7">
      <selection activeCell="H10" sqref="H10"/>
    </sheetView>
  </sheetViews>
  <sheetFormatPr defaultColWidth="9.140625" defaultRowHeight="12.75"/>
  <cols>
    <col min="1" max="1" width="6.8515625" style="172" customWidth="1"/>
    <col min="2" max="2" width="33.28125" style="172" customWidth="1"/>
    <col min="3" max="3" width="29.140625" style="172" customWidth="1"/>
    <col min="4" max="4" width="43.00390625" style="172" customWidth="1"/>
    <col min="5" max="16384" width="9.140625" style="172" customWidth="1"/>
  </cols>
  <sheetData>
    <row r="1" spans="3:4" ht="25.5">
      <c r="C1" s="20"/>
      <c r="D1" s="5" t="s">
        <v>369</v>
      </c>
    </row>
    <row r="3" ht="15.75">
      <c r="A3" s="200" t="s">
        <v>370</v>
      </c>
    </row>
    <row r="4" ht="13.5" thickBot="1">
      <c r="A4" s="171"/>
    </row>
    <row r="5" spans="1:4" s="3" customFormat="1" ht="13.5" customHeight="1">
      <c r="A5" s="279" t="s">
        <v>4</v>
      </c>
      <c r="B5" s="279" t="s">
        <v>5</v>
      </c>
      <c r="C5" s="279" t="s">
        <v>371</v>
      </c>
      <c r="D5" s="279"/>
    </row>
    <row r="6" spans="1:4" s="10" customFormat="1" ht="48" customHeight="1" thickBot="1">
      <c r="A6" s="280"/>
      <c r="B6" s="280"/>
      <c r="C6" s="280"/>
      <c r="D6" s="280"/>
    </row>
    <row r="7" spans="1:4" s="202" customFormat="1" ht="12.75">
      <c r="A7" s="201"/>
      <c r="B7" s="201"/>
      <c r="C7" s="201"/>
      <c r="D7" s="201"/>
    </row>
    <row r="8" spans="1:4" s="206" customFormat="1" ht="12.75">
      <c r="A8" s="203"/>
      <c r="B8" s="204" t="s">
        <v>372</v>
      </c>
      <c r="C8" s="205">
        <f>C9+C10+C11</f>
        <v>57000</v>
      </c>
      <c r="D8" s="205"/>
    </row>
    <row r="9" spans="1:4" s="211" customFormat="1" ht="12.75">
      <c r="A9" s="207"/>
      <c r="B9" s="208" t="s">
        <v>373</v>
      </c>
      <c r="C9" s="209">
        <v>2900</v>
      </c>
      <c r="D9" s="210"/>
    </row>
    <row r="10" spans="1:4" s="20" customFormat="1" ht="38.25">
      <c r="A10" s="29" t="s">
        <v>57</v>
      </c>
      <c r="B10" s="30" t="s">
        <v>132</v>
      </c>
      <c r="C10" s="32">
        <v>54000</v>
      </c>
      <c r="D10" s="32" t="s">
        <v>374</v>
      </c>
    </row>
    <row r="11" spans="1:4" s="20" customFormat="1" ht="13.5" thickBot="1">
      <c r="A11" s="212" t="s">
        <v>47</v>
      </c>
      <c r="B11" s="30" t="s">
        <v>48</v>
      </c>
      <c r="C11" s="89">
        <v>100</v>
      </c>
      <c r="D11" s="89" t="s">
        <v>375</v>
      </c>
    </row>
    <row r="12" spans="1:4" s="202" customFormat="1" ht="12.75">
      <c r="A12" s="201"/>
      <c r="B12" s="201"/>
      <c r="C12" s="201"/>
      <c r="D12" s="201"/>
    </row>
    <row r="13" spans="1:4" s="206" customFormat="1" ht="12.75">
      <c r="A13" s="203"/>
      <c r="B13" s="204" t="s">
        <v>349</v>
      </c>
      <c r="C13" s="205">
        <f>SUM(C14:C15)</f>
        <v>57000</v>
      </c>
      <c r="D13" s="205"/>
    </row>
    <row r="14" spans="1:4" s="45" customFormat="1" ht="36" customHeight="1">
      <c r="A14" s="29">
        <v>4210</v>
      </c>
      <c r="B14" s="30" t="s">
        <v>158</v>
      </c>
      <c r="C14" s="47">
        <v>17000</v>
      </c>
      <c r="D14" s="320" t="s">
        <v>376</v>
      </c>
    </row>
    <row r="15" spans="1:4" s="45" customFormat="1" ht="31.5" customHeight="1" thickBot="1">
      <c r="A15" s="29">
        <v>4300</v>
      </c>
      <c r="B15" s="30" t="s">
        <v>162</v>
      </c>
      <c r="C15" s="47">
        <v>40000</v>
      </c>
      <c r="D15" s="321"/>
    </row>
    <row r="16" spans="1:4" s="202" customFormat="1" ht="12.75">
      <c r="A16" s="201"/>
      <c r="B16" s="201"/>
      <c r="C16" s="201"/>
      <c r="D16" s="201"/>
    </row>
  </sheetData>
  <mergeCells count="5">
    <mergeCell ref="D14:D15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C23" sqref="C23:D30"/>
    </sheetView>
  </sheetViews>
  <sheetFormatPr defaultColWidth="9.140625" defaultRowHeight="12.75"/>
  <cols>
    <col min="1" max="1" width="4.421875" style="172" customWidth="1"/>
    <col min="2" max="2" width="6.7109375" style="172" customWidth="1"/>
    <col min="3" max="3" width="26.8515625" style="172" customWidth="1"/>
    <col min="4" max="4" width="37.57421875" style="172" customWidth="1"/>
    <col min="5" max="5" width="32.57421875" style="172" customWidth="1"/>
    <col min="6" max="9" width="9.140625" style="172" customWidth="1"/>
    <col min="10" max="10" width="7.8515625" style="172" customWidth="1"/>
    <col min="11" max="11" width="19.28125" style="172" customWidth="1"/>
    <col min="12" max="12" width="14.57421875" style="172" customWidth="1"/>
    <col min="13" max="13" width="14.140625" style="172" customWidth="1"/>
    <col min="14" max="14" width="14.421875" style="172" customWidth="1"/>
    <col min="15" max="15" width="14.57421875" style="172" customWidth="1"/>
    <col min="16" max="16" width="13.140625" style="172" customWidth="1"/>
    <col min="17" max="17" width="17.28125" style="172" customWidth="1"/>
    <col min="18" max="16384" width="9.140625" style="172" customWidth="1"/>
  </cols>
  <sheetData>
    <row r="2" ht="38.25">
      <c r="E2" s="5" t="s">
        <v>377</v>
      </c>
    </row>
    <row r="4" spans="2:5" ht="15.75">
      <c r="B4" s="322" t="s">
        <v>378</v>
      </c>
      <c r="C4" s="322"/>
      <c r="D4" s="322"/>
      <c r="E4" s="322"/>
    </row>
    <row r="7" spans="2:5" ht="12.75" customHeight="1">
      <c r="B7" s="323" t="s">
        <v>379</v>
      </c>
      <c r="C7" s="323" t="s">
        <v>380</v>
      </c>
      <c r="D7" s="326" t="s">
        <v>381</v>
      </c>
      <c r="E7" s="326" t="s">
        <v>382</v>
      </c>
    </row>
    <row r="8" spans="2:5" s="20" customFormat="1" ht="12.75">
      <c r="B8" s="324"/>
      <c r="C8" s="324"/>
      <c r="D8" s="327"/>
      <c r="E8" s="327"/>
    </row>
    <row r="9" spans="2:5" ht="12.75" customHeight="1">
      <c r="B9" s="325"/>
      <c r="C9" s="325"/>
      <c r="D9" s="328"/>
      <c r="E9" s="328"/>
    </row>
    <row r="10" spans="2:5" ht="12.75">
      <c r="B10" s="178"/>
      <c r="C10" s="178"/>
      <c r="D10" s="178"/>
      <c r="E10" s="178"/>
    </row>
    <row r="11" spans="2:5" s="3" customFormat="1" ht="25.5">
      <c r="B11" s="21">
        <v>400</v>
      </c>
      <c r="C11" s="23" t="s">
        <v>27</v>
      </c>
      <c r="D11" s="213">
        <f>521500+D12</f>
        <v>592550</v>
      </c>
      <c r="E11" s="214">
        <v>592550</v>
      </c>
    </row>
    <row r="12" spans="2:5" s="3" customFormat="1" ht="12.75">
      <c r="B12" s="21"/>
      <c r="C12" s="215" t="s">
        <v>383</v>
      </c>
      <c r="D12" s="214">
        <v>71050</v>
      </c>
      <c r="E12" s="214"/>
    </row>
    <row r="13" spans="2:5" s="3" customFormat="1" ht="12.75">
      <c r="B13" s="21">
        <v>600</v>
      </c>
      <c r="C13" s="216" t="s">
        <v>32</v>
      </c>
      <c r="D13" s="213">
        <f>0+D14</f>
        <v>168400</v>
      </c>
      <c r="E13" s="214">
        <v>168400</v>
      </c>
    </row>
    <row r="14" spans="2:5" s="3" customFormat="1" ht="12.75">
      <c r="B14" s="21"/>
      <c r="C14" s="215" t="s">
        <v>383</v>
      </c>
      <c r="D14" s="214">
        <v>168400</v>
      </c>
      <c r="E14" s="214"/>
    </row>
    <row r="15" spans="2:5" s="3" customFormat="1" ht="12.75">
      <c r="B15" s="21">
        <v>700</v>
      </c>
      <c r="C15" s="23" t="s">
        <v>36</v>
      </c>
      <c r="D15" s="213">
        <v>284310</v>
      </c>
      <c r="E15" s="214">
        <v>284310</v>
      </c>
    </row>
    <row r="16" spans="2:5" s="3" customFormat="1" ht="12.75">
      <c r="B16" s="21"/>
      <c r="C16" s="215" t="s">
        <v>383</v>
      </c>
      <c r="D16" s="214">
        <v>0</v>
      </c>
      <c r="E16" s="214"/>
    </row>
    <row r="17" spans="2:5" s="3" customFormat="1" ht="25.5">
      <c r="B17" s="21">
        <v>900</v>
      </c>
      <c r="C17" s="23" t="s">
        <v>384</v>
      </c>
      <c r="D17" s="213">
        <f>834023+D18</f>
        <v>965106</v>
      </c>
      <c r="E17" s="214">
        <v>965106</v>
      </c>
    </row>
    <row r="18" spans="2:5" s="3" customFormat="1" ht="12.75">
      <c r="B18" s="21"/>
      <c r="C18" s="215" t="s">
        <v>383</v>
      </c>
      <c r="D18" s="214">
        <v>131083</v>
      </c>
      <c r="E18" s="217"/>
    </row>
    <row r="19" spans="2:5" s="218" customFormat="1" ht="15.75">
      <c r="B19" s="219"/>
      <c r="C19" s="220"/>
      <c r="D19" s="221">
        <f>D11+D15+D17+D13</f>
        <v>2010366</v>
      </c>
      <c r="E19" s="221">
        <f>E11+E15+E17+E13</f>
        <v>2010366</v>
      </c>
    </row>
    <row r="20" spans="4:5" ht="12.75">
      <c r="D20" s="198"/>
      <c r="E20" s="198"/>
    </row>
    <row r="21" spans="4:5" ht="12.75">
      <c r="D21" s="198"/>
      <c r="E21" s="198"/>
    </row>
    <row r="22" spans="4:5" ht="12.75">
      <c r="D22" s="198"/>
      <c r="E22" s="198"/>
    </row>
    <row r="24" ht="12.75">
      <c r="D24" s="222"/>
    </row>
    <row r="25" ht="12.75">
      <c r="D25" s="198"/>
    </row>
    <row r="26" ht="12.75">
      <c r="D26" s="198"/>
    </row>
  </sheetData>
  <mergeCells count="5">
    <mergeCell ref="B4:E4"/>
    <mergeCell ref="B7:B9"/>
    <mergeCell ref="C7:C9"/>
    <mergeCell ref="D7:D9"/>
    <mergeCell ref="E7:E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22"/>
  <sheetViews>
    <sheetView workbookViewId="0" topLeftCell="A1">
      <selection activeCell="V5" sqref="V5"/>
    </sheetView>
  </sheetViews>
  <sheetFormatPr defaultColWidth="9.140625" defaultRowHeight="34.5" customHeight="1"/>
  <cols>
    <col min="1" max="1" width="1.8515625" style="0" customWidth="1"/>
    <col min="2" max="2" width="5.8515625" style="0" customWidth="1"/>
    <col min="3" max="3" width="24.00390625" style="0" customWidth="1"/>
    <col min="6" max="6" width="14.28125" style="0" bestFit="1" customWidth="1"/>
    <col min="7" max="7" width="12.28125" style="0" hidden="1" customWidth="1"/>
    <col min="8" max="10" width="12.7109375" style="0" customWidth="1"/>
    <col min="11" max="13" width="12.7109375" style="0" hidden="1" customWidth="1"/>
    <col min="14" max="14" width="12.8515625" style="0" hidden="1" customWidth="1"/>
    <col min="15" max="15" width="14.421875" style="0" hidden="1" customWidth="1"/>
    <col min="16" max="16" width="12.7109375" style="0" hidden="1" customWidth="1"/>
    <col min="17" max="18" width="14.140625" style="0" customWidth="1"/>
    <col min="20" max="20" width="11.7109375" style="0" customWidth="1"/>
    <col min="21" max="21" width="13.57421875" style="0" customWidth="1"/>
    <col min="22" max="22" width="14.28125" style="0" customWidth="1"/>
    <col min="24" max="24" width="12.8515625" style="0" customWidth="1"/>
    <col min="25" max="25" width="13.421875" style="0" customWidth="1"/>
    <col min="28" max="28" width="13.8515625" style="0" customWidth="1"/>
    <col min="29" max="31" width="0" style="0" hidden="1" customWidth="1"/>
    <col min="32" max="32" width="10.421875" style="0" hidden="1" customWidth="1"/>
    <col min="33" max="35" width="0" style="0" hidden="1" customWidth="1"/>
    <col min="36" max="36" width="10.7109375" style="0" hidden="1" customWidth="1"/>
    <col min="37" max="39" width="0" style="0" hidden="1" customWidth="1"/>
    <col min="40" max="40" width="11.00390625" style="0" hidden="1" customWidth="1"/>
    <col min="41" max="43" width="0" style="0" hidden="1" customWidth="1"/>
    <col min="44" max="44" width="11.00390625" style="0" hidden="1" customWidth="1"/>
    <col min="45" max="47" width="0" style="0" hidden="1" customWidth="1"/>
    <col min="48" max="48" width="11.28125" style="0" hidden="1" customWidth="1"/>
    <col min="49" max="51" width="0" style="0" hidden="1" customWidth="1"/>
    <col min="52" max="52" width="10.8515625" style="0" hidden="1" customWidth="1"/>
    <col min="53" max="53" width="1.1484375" style="0" customWidth="1"/>
  </cols>
  <sheetData>
    <row r="1" spans="2:32" ht="54.75" customHeight="1">
      <c r="B1" s="172"/>
      <c r="C1" s="223" t="s">
        <v>385</v>
      </c>
      <c r="D1" s="223"/>
      <c r="E1" s="223"/>
      <c r="F1" s="223"/>
      <c r="G1" s="223"/>
      <c r="H1" s="223"/>
      <c r="I1" s="20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317" t="s">
        <v>386</v>
      </c>
      <c r="AB1" s="317"/>
      <c r="AC1" s="317"/>
      <c r="AD1" s="317"/>
      <c r="AE1" s="317"/>
      <c r="AF1" s="317"/>
    </row>
    <row r="2" spans="2:27" ht="11.25" customHeight="1">
      <c r="B2" s="172"/>
      <c r="C2" s="172"/>
      <c r="D2" s="224"/>
      <c r="E2" s="172"/>
      <c r="F2" s="172"/>
      <c r="G2" s="20"/>
      <c r="H2" s="20"/>
      <c r="I2" s="20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2:52" ht="19.5" customHeight="1">
      <c r="B3" s="329" t="s">
        <v>387</v>
      </c>
      <c r="C3" s="329" t="s">
        <v>388</v>
      </c>
      <c r="D3" s="345" t="s">
        <v>389</v>
      </c>
      <c r="E3" s="329" t="s">
        <v>390</v>
      </c>
      <c r="F3" s="348" t="s">
        <v>391</v>
      </c>
      <c r="G3" s="349"/>
      <c r="H3" s="349"/>
      <c r="I3" s="350"/>
      <c r="J3" s="225"/>
      <c r="K3" s="225"/>
      <c r="L3" s="225"/>
      <c r="M3" s="225"/>
      <c r="N3" s="225"/>
      <c r="O3" s="225"/>
      <c r="P3" s="225"/>
      <c r="Q3" s="351" t="s">
        <v>392</v>
      </c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227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9"/>
    </row>
    <row r="4" spans="2:52" ht="21" customHeight="1">
      <c r="B4" s="343"/>
      <c r="C4" s="343"/>
      <c r="D4" s="346"/>
      <c r="E4" s="343"/>
      <c r="F4" s="297" t="s">
        <v>393</v>
      </c>
      <c r="G4" s="5"/>
      <c r="H4" s="230" t="s">
        <v>394</v>
      </c>
      <c r="I4" s="226"/>
      <c r="J4" s="226"/>
      <c r="K4" s="226"/>
      <c r="L4" s="226"/>
      <c r="M4" s="226"/>
      <c r="N4" s="226"/>
      <c r="O4" s="226"/>
      <c r="P4" s="231"/>
      <c r="Q4" s="355">
        <v>2005</v>
      </c>
      <c r="R4" s="355"/>
      <c r="S4" s="355"/>
      <c r="T4" s="356"/>
      <c r="U4" s="232"/>
      <c r="V4" s="232">
        <v>2006</v>
      </c>
      <c r="W4" s="232"/>
      <c r="X4" s="233"/>
      <c r="Y4" s="331">
        <v>2007</v>
      </c>
      <c r="Z4" s="332"/>
      <c r="AA4" s="332"/>
      <c r="AB4" s="333"/>
      <c r="AC4" s="334">
        <v>2008</v>
      </c>
      <c r="AD4" s="335"/>
      <c r="AE4" s="335"/>
      <c r="AF4" s="336"/>
      <c r="AG4" s="337">
        <v>2009</v>
      </c>
      <c r="AH4" s="338"/>
      <c r="AI4" s="338"/>
      <c r="AJ4" s="339"/>
      <c r="AK4" s="331">
        <v>2010</v>
      </c>
      <c r="AL4" s="332"/>
      <c r="AM4" s="332"/>
      <c r="AN4" s="333"/>
      <c r="AO4" s="340">
        <v>2011</v>
      </c>
      <c r="AP4" s="341"/>
      <c r="AQ4" s="341"/>
      <c r="AR4" s="342"/>
      <c r="AS4" s="331">
        <v>2012</v>
      </c>
      <c r="AT4" s="332"/>
      <c r="AU4" s="332"/>
      <c r="AV4" s="333"/>
      <c r="AW4" s="334">
        <v>2013</v>
      </c>
      <c r="AX4" s="335"/>
      <c r="AY4" s="335"/>
      <c r="AZ4" s="336"/>
    </row>
    <row r="5" spans="2:52" ht="22.5" customHeight="1">
      <c r="B5" s="343"/>
      <c r="C5" s="343"/>
      <c r="D5" s="346"/>
      <c r="E5" s="343"/>
      <c r="F5" s="353"/>
      <c r="G5" s="230" t="s">
        <v>394</v>
      </c>
      <c r="H5" s="329">
        <v>2005</v>
      </c>
      <c r="I5" s="329">
        <v>2006</v>
      </c>
      <c r="J5" s="329">
        <v>2007</v>
      </c>
      <c r="K5" s="329">
        <v>2008</v>
      </c>
      <c r="L5" s="329">
        <v>2009</v>
      </c>
      <c r="M5" s="329">
        <v>2010</v>
      </c>
      <c r="N5" s="329">
        <v>2011</v>
      </c>
      <c r="O5" s="329">
        <v>2012</v>
      </c>
      <c r="P5" s="329">
        <v>2013</v>
      </c>
      <c r="Q5" s="236"/>
      <c r="R5" s="237"/>
      <c r="S5" s="238"/>
      <c r="T5" s="239"/>
      <c r="U5" s="240"/>
      <c r="V5" s="240"/>
      <c r="W5" s="241"/>
      <c r="X5" s="242"/>
      <c r="Y5" s="243"/>
      <c r="Z5" s="243"/>
      <c r="AA5" s="244"/>
      <c r="AB5" s="244"/>
      <c r="AC5" s="245"/>
      <c r="AD5" s="245"/>
      <c r="AE5" s="246"/>
      <c r="AF5" s="246"/>
      <c r="AG5" s="247"/>
      <c r="AH5" s="247"/>
      <c r="AI5" s="248"/>
      <c r="AJ5" s="248"/>
      <c r="AK5" s="243"/>
      <c r="AL5" s="243"/>
      <c r="AM5" s="244"/>
      <c r="AN5" s="244"/>
      <c r="AO5" s="240"/>
      <c r="AP5" s="240"/>
      <c r="AQ5" s="241"/>
      <c r="AR5" s="241"/>
      <c r="AS5" s="243"/>
      <c r="AT5" s="243"/>
      <c r="AU5" s="244"/>
      <c r="AV5" s="244"/>
      <c r="AW5" s="245"/>
      <c r="AX5" s="245"/>
      <c r="AY5" s="246"/>
      <c r="AZ5" s="246"/>
    </row>
    <row r="6" spans="2:52" ht="24.75" customHeight="1">
      <c r="B6" s="344"/>
      <c r="C6" s="344"/>
      <c r="D6" s="347"/>
      <c r="E6" s="344"/>
      <c r="F6" s="354"/>
      <c r="G6" s="147">
        <v>2004</v>
      </c>
      <c r="H6" s="330"/>
      <c r="I6" s="330"/>
      <c r="J6" s="330"/>
      <c r="K6" s="330"/>
      <c r="L6" s="330"/>
      <c r="M6" s="330"/>
      <c r="N6" s="330"/>
      <c r="O6" s="330"/>
      <c r="P6" s="330"/>
      <c r="Q6" s="237" t="s">
        <v>395</v>
      </c>
      <c r="R6" s="237" t="s">
        <v>396</v>
      </c>
      <c r="S6" s="250" t="s">
        <v>397</v>
      </c>
      <c r="T6" s="251" t="s">
        <v>398</v>
      </c>
      <c r="U6" s="240" t="s">
        <v>395</v>
      </c>
      <c r="V6" s="240" t="s">
        <v>396</v>
      </c>
      <c r="W6" s="252" t="s">
        <v>397</v>
      </c>
      <c r="X6" s="254" t="s">
        <v>398</v>
      </c>
      <c r="Y6" s="243" t="s">
        <v>395</v>
      </c>
      <c r="Z6" s="243" t="s">
        <v>396</v>
      </c>
      <c r="AA6" s="255" t="s">
        <v>397</v>
      </c>
      <c r="AB6" s="255" t="s">
        <v>398</v>
      </c>
      <c r="AC6" s="245" t="s">
        <v>395</v>
      </c>
      <c r="AD6" s="245" t="s">
        <v>396</v>
      </c>
      <c r="AE6" s="256" t="s">
        <v>397</v>
      </c>
      <c r="AF6" s="256" t="s">
        <v>398</v>
      </c>
      <c r="AG6" s="247" t="s">
        <v>395</v>
      </c>
      <c r="AH6" s="247" t="s">
        <v>396</v>
      </c>
      <c r="AI6" s="257" t="s">
        <v>397</v>
      </c>
      <c r="AJ6" s="257" t="s">
        <v>398</v>
      </c>
      <c r="AK6" s="243" t="s">
        <v>395</v>
      </c>
      <c r="AL6" s="243" t="s">
        <v>396</v>
      </c>
      <c r="AM6" s="255" t="s">
        <v>397</v>
      </c>
      <c r="AN6" s="255" t="s">
        <v>398</v>
      </c>
      <c r="AO6" s="240" t="s">
        <v>395</v>
      </c>
      <c r="AP6" s="240" t="s">
        <v>396</v>
      </c>
      <c r="AQ6" s="252" t="s">
        <v>397</v>
      </c>
      <c r="AR6" s="252" t="s">
        <v>398</v>
      </c>
      <c r="AS6" s="243" t="s">
        <v>395</v>
      </c>
      <c r="AT6" s="243" t="s">
        <v>396</v>
      </c>
      <c r="AU6" s="255" t="s">
        <v>397</v>
      </c>
      <c r="AV6" s="255" t="s">
        <v>398</v>
      </c>
      <c r="AW6" s="245" t="s">
        <v>395</v>
      </c>
      <c r="AX6" s="245" t="s">
        <v>396</v>
      </c>
      <c r="AY6" s="256" t="s">
        <v>397</v>
      </c>
      <c r="AZ6" s="256" t="s">
        <v>398</v>
      </c>
    </row>
    <row r="7" spans="2:52" ht="39.75" customHeight="1" thickBot="1">
      <c r="B7" s="249">
        <v>1</v>
      </c>
      <c r="C7" s="258" t="s">
        <v>399</v>
      </c>
      <c r="D7" s="259" t="s">
        <v>400</v>
      </c>
      <c r="E7" s="260" t="s">
        <v>401</v>
      </c>
      <c r="F7" s="261">
        <f>H7+I7+G7</f>
        <v>10196779.93</v>
      </c>
      <c r="G7" s="32">
        <v>191941.1</v>
      </c>
      <c r="H7" s="32">
        <v>7480156.04</v>
      </c>
      <c r="I7" s="32">
        <v>2524682.79</v>
      </c>
      <c r="J7" s="26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263">
        <f>H7-R7-S7-T7</f>
        <v>1470337.3200000003</v>
      </c>
      <c r="R7" s="263">
        <v>5302781.22</v>
      </c>
      <c r="S7" s="263">
        <v>0</v>
      </c>
      <c r="T7" s="263">
        <v>707037.5</v>
      </c>
      <c r="U7" s="182">
        <v>573658.42</v>
      </c>
      <c r="V7" s="182">
        <v>1721492.09</v>
      </c>
      <c r="W7" s="182">
        <v>0</v>
      </c>
      <c r="X7" s="182">
        <v>229532.28</v>
      </c>
      <c r="Y7" s="152">
        <v>0</v>
      </c>
      <c r="Z7" s="152">
        <v>0</v>
      </c>
      <c r="AA7" s="152">
        <v>0</v>
      </c>
      <c r="AB7" s="152">
        <v>0</v>
      </c>
      <c r="AC7" s="33"/>
      <c r="AD7" s="33"/>
      <c r="AE7" s="33"/>
      <c r="AF7" s="33"/>
      <c r="AG7" s="264"/>
      <c r="AH7" s="264"/>
      <c r="AI7" s="264"/>
      <c r="AJ7" s="264"/>
      <c r="AK7" s="152"/>
      <c r="AL7" s="152"/>
      <c r="AM7" s="152"/>
      <c r="AN7" s="152"/>
      <c r="AO7" s="182"/>
      <c r="AP7" s="182"/>
      <c r="AQ7" s="182"/>
      <c r="AR7" s="182"/>
      <c r="AS7" s="152"/>
      <c r="AT7" s="152"/>
      <c r="AU7" s="152"/>
      <c r="AV7" s="152"/>
      <c r="AW7" s="33"/>
      <c r="AX7" s="33"/>
      <c r="AY7" s="33"/>
      <c r="AZ7" s="33"/>
    </row>
    <row r="8" spans="2:52" ht="34.5" customHeight="1">
      <c r="B8" s="249">
        <v>2</v>
      </c>
      <c r="C8" s="265" t="s">
        <v>402</v>
      </c>
      <c r="D8" s="259" t="s">
        <v>400</v>
      </c>
      <c r="E8" s="260" t="s">
        <v>403</v>
      </c>
      <c r="F8" s="261">
        <v>3055000</v>
      </c>
      <c r="G8" s="32"/>
      <c r="H8" s="32">
        <v>80000</v>
      </c>
      <c r="I8" s="32">
        <v>0</v>
      </c>
      <c r="J8" s="32">
        <v>2975000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263">
        <v>80000</v>
      </c>
      <c r="R8" s="263">
        <v>0</v>
      </c>
      <c r="S8" s="263">
        <v>0</v>
      </c>
      <c r="T8" s="263">
        <v>0</v>
      </c>
      <c r="U8" s="182">
        <v>0</v>
      </c>
      <c r="V8" s="182">
        <v>0</v>
      </c>
      <c r="W8" s="182">
        <v>0</v>
      </c>
      <c r="X8" s="182">
        <v>0</v>
      </c>
      <c r="Y8" s="152">
        <v>1975000</v>
      </c>
      <c r="Z8" s="152">
        <v>0</v>
      </c>
      <c r="AA8" s="152">
        <v>0</v>
      </c>
      <c r="AB8" s="152">
        <v>1000000</v>
      </c>
      <c r="AC8" s="33"/>
      <c r="AD8" s="33"/>
      <c r="AE8" s="33"/>
      <c r="AF8" s="33"/>
      <c r="AG8" s="264"/>
      <c r="AH8" s="264"/>
      <c r="AI8" s="264"/>
      <c r="AJ8" s="264"/>
      <c r="AK8" s="152"/>
      <c r="AL8" s="152"/>
      <c r="AM8" s="152"/>
      <c r="AN8" s="152"/>
      <c r="AO8" s="182"/>
      <c r="AP8" s="182"/>
      <c r="AQ8" s="182"/>
      <c r="AR8" s="182"/>
      <c r="AS8" s="152"/>
      <c r="AT8" s="152"/>
      <c r="AU8" s="152"/>
      <c r="AV8" s="152"/>
      <c r="AW8" s="33"/>
      <c r="AX8" s="33"/>
      <c r="AY8" s="33"/>
      <c r="AZ8" s="33"/>
    </row>
    <row r="9" spans="2:52" ht="34.5" customHeight="1" thickBot="1">
      <c r="B9" s="249">
        <v>3</v>
      </c>
      <c r="C9" s="266" t="s">
        <v>404</v>
      </c>
      <c r="D9" s="259" t="s">
        <v>400</v>
      </c>
      <c r="E9" s="267" t="s">
        <v>403</v>
      </c>
      <c r="F9" s="261">
        <f>H9+I9+J9</f>
        <v>4033000</v>
      </c>
      <c r="G9" s="32"/>
      <c r="H9" s="32">
        <v>100000</v>
      </c>
      <c r="I9" s="32">
        <v>2952746</v>
      </c>
      <c r="J9" s="32">
        <v>980254</v>
      </c>
      <c r="K9" s="32"/>
      <c r="L9" s="32"/>
      <c r="M9" s="32"/>
      <c r="N9" s="32"/>
      <c r="O9" s="32"/>
      <c r="P9" s="32"/>
      <c r="Q9" s="263">
        <v>50000</v>
      </c>
      <c r="R9" s="263">
        <v>0</v>
      </c>
      <c r="S9" s="263">
        <v>0</v>
      </c>
      <c r="T9" s="263">
        <v>50000</v>
      </c>
      <c r="U9" s="182">
        <v>2452746</v>
      </c>
      <c r="V9" s="182">
        <v>0</v>
      </c>
      <c r="W9" s="182">
        <v>0</v>
      </c>
      <c r="X9" s="182">
        <v>500000</v>
      </c>
      <c r="Y9" s="152">
        <v>80254</v>
      </c>
      <c r="Z9" s="152">
        <v>0</v>
      </c>
      <c r="AA9" s="152">
        <v>0</v>
      </c>
      <c r="AB9" s="152">
        <v>900000</v>
      </c>
      <c r="AC9" s="33"/>
      <c r="AD9" s="33"/>
      <c r="AE9" s="33"/>
      <c r="AF9" s="33"/>
      <c r="AG9" s="264"/>
      <c r="AH9" s="264"/>
      <c r="AI9" s="264"/>
      <c r="AJ9" s="264"/>
      <c r="AK9" s="152"/>
      <c r="AL9" s="152"/>
      <c r="AM9" s="152"/>
      <c r="AN9" s="152"/>
      <c r="AO9" s="182"/>
      <c r="AP9" s="182"/>
      <c r="AQ9" s="182"/>
      <c r="AR9" s="182"/>
      <c r="AS9" s="152"/>
      <c r="AT9" s="152"/>
      <c r="AU9" s="152"/>
      <c r="AV9" s="152"/>
      <c r="AW9" s="33"/>
      <c r="AX9" s="33"/>
      <c r="AY9" s="33"/>
      <c r="AZ9" s="33"/>
    </row>
    <row r="10" spans="2:52" ht="34.5" customHeight="1">
      <c r="B10" s="249">
        <v>4</v>
      </c>
      <c r="C10" s="258" t="s">
        <v>405</v>
      </c>
      <c r="D10" s="259" t="s">
        <v>400</v>
      </c>
      <c r="E10" s="260" t="s">
        <v>406</v>
      </c>
      <c r="F10" s="261">
        <f>H10+I10+J10+K10+L10</f>
        <v>1186882</v>
      </c>
      <c r="G10" s="32"/>
      <c r="H10" s="32">
        <v>101000</v>
      </c>
      <c r="I10" s="32">
        <v>135540</v>
      </c>
      <c r="J10" s="32">
        <v>200000</v>
      </c>
      <c r="K10" s="32">
        <v>200000</v>
      </c>
      <c r="L10" s="32">
        <v>550342</v>
      </c>
      <c r="M10" s="32">
        <v>0</v>
      </c>
      <c r="N10" s="32">
        <v>0</v>
      </c>
      <c r="O10" s="32">
        <v>0</v>
      </c>
      <c r="P10" s="32">
        <v>0</v>
      </c>
      <c r="Q10" s="263">
        <v>85850</v>
      </c>
      <c r="R10" s="263">
        <v>0</v>
      </c>
      <c r="S10" s="263">
        <v>0</v>
      </c>
      <c r="T10" s="268">
        <v>15150</v>
      </c>
      <c r="U10" s="182">
        <v>115209</v>
      </c>
      <c r="V10" s="182">
        <v>0</v>
      </c>
      <c r="W10" s="182">
        <v>0</v>
      </c>
      <c r="X10" s="182">
        <v>20331</v>
      </c>
      <c r="Y10" s="152">
        <v>170000</v>
      </c>
      <c r="Z10" s="152">
        <v>0</v>
      </c>
      <c r="AA10" s="152">
        <v>0</v>
      </c>
      <c r="AB10" s="152">
        <v>30000</v>
      </c>
      <c r="AC10" s="33"/>
      <c r="AD10" s="33"/>
      <c r="AE10" s="33"/>
      <c r="AF10" s="33"/>
      <c r="AG10" s="264"/>
      <c r="AH10" s="264"/>
      <c r="AI10" s="264"/>
      <c r="AJ10" s="264"/>
      <c r="AK10" s="152"/>
      <c r="AL10" s="152"/>
      <c r="AM10" s="152"/>
      <c r="AN10" s="152"/>
      <c r="AO10" s="182"/>
      <c r="AP10" s="182"/>
      <c r="AQ10" s="182"/>
      <c r="AR10" s="182"/>
      <c r="AS10" s="152"/>
      <c r="AT10" s="152"/>
      <c r="AU10" s="152"/>
      <c r="AV10" s="152"/>
      <c r="AW10" s="33"/>
      <c r="AX10" s="33"/>
      <c r="AY10" s="33"/>
      <c r="AZ10" s="33"/>
    </row>
    <row r="11" spans="1:52" ht="34.5" customHeight="1">
      <c r="A11" s="269"/>
      <c r="B11" s="249">
        <v>5</v>
      </c>
      <c r="C11" s="258" t="s">
        <v>407</v>
      </c>
      <c r="D11" s="259" t="s">
        <v>400</v>
      </c>
      <c r="E11" s="260" t="s">
        <v>408</v>
      </c>
      <c r="F11" s="261">
        <f>H11+I11+J11+K11+L11+M11</f>
        <v>1506984</v>
      </c>
      <c r="G11" s="32"/>
      <c r="H11" s="32">
        <v>121000</v>
      </c>
      <c r="I11" s="32">
        <v>100000</v>
      </c>
      <c r="J11" s="32">
        <v>258520</v>
      </c>
      <c r="K11" s="32">
        <v>200000</v>
      </c>
      <c r="L11" s="32">
        <v>380000</v>
      </c>
      <c r="M11" s="32">
        <v>447464</v>
      </c>
      <c r="N11" s="32">
        <v>0</v>
      </c>
      <c r="O11" s="32">
        <v>0</v>
      </c>
      <c r="P11" s="32">
        <v>0</v>
      </c>
      <c r="Q11" s="263">
        <v>18150</v>
      </c>
      <c r="R11" s="263">
        <v>0</v>
      </c>
      <c r="S11" s="263">
        <v>0</v>
      </c>
      <c r="T11" s="263">
        <v>102850</v>
      </c>
      <c r="U11" s="182">
        <v>85000</v>
      </c>
      <c r="V11" s="182">
        <v>0</v>
      </c>
      <c r="W11" s="182">
        <v>0</v>
      </c>
      <c r="X11" s="182">
        <v>15000</v>
      </c>
      <c r="Y11" s="152">
        <v>219742</v>
      </c>
      <c r="Z11" s="152">
        <v>0</v>
      </c>
      <c r="AA11" s="152">
        <v>0</v>
      </c>
      <c r="AB11" s="152">
        <v>38778</v>
      </c>
      <c r="AC11" s="33"/>
      <c r="AD11" s="33"/>
      <c r="AE11" s="33"/>
      <c r="AF11" s="33"/>
      <c r="AG11" s="264"/>
      <c r="AH11" s="264"/>
      <c r="AI11" s="264"/>
      <c r="AJ11" s="264"/>
      <c r="AK11" s="152"/>
      <c r="AL11" s="152"/>
      <c r="AM11" s="152"/>
      <c r="AN11" s="152"/>
      <c r="AO11" s="182"/>
      <c r="AP11" s="182"/>
      <c r="AQ11" s="182"/>
      <c r="AR11" s="182"/>
      <c r="AS11" s="152"/>
      <c r="AT11" s="152"/>
      <c r="AU11" s="152"/>
      <c r="AV11" s="152"/>
      <c r="AW11" s="33"/>
      <c r="AX11" s="33"/>
      <c r="AY11" s="33"/>
      <c r="AZ11" s="33"/>
    </row>
    <row r="12" spans="2:52" ht="34.5" customHeight="1">
      <c r="B12" s="249">
        <v>6</v>
      </c>
      <c r="C12" s="258" t="s">
        <v>409</v>
      </c>
      <c r="D12" s="259" t="s">
        <v>400</v>
      </c>
      <c r="E12" s="260" t="s">
        <v>410</v>
      </c>
      <c r="F12" s="261">
        <f>G12+H12+I12+J12</f>
        <v>182340</v>
      </c>
      <c r="G12" s="32">
        <v>3050</v>
      </c>
      <c r="H12" s="32">
        <v>83440</v>
      </c>
      <c r="I12" s="32">
        <v>0</v>
      </c>
      <c r="J12" s="32">
        <v>95850</v>
      </c>
      <c r="K12" s="32"/>
      <c r="L12" s="32"/>
      <c r="M12" s="32"/>
      <c r="N12" s="32"/>
      <c r="O12" s="32"/>
      <c r="P12" s="32"/>
      <c r="Q12" s="263">
        <v>83440</v>
      </c>
      <c r="R12" s="263">
        <v>0</v>
      </c>
      <c r="S12" s="263">
        <v>0</v>
      </c>
      <c r="T12" s="263">
        <v>0</v>
      </c>
      <c r="U12" s="182">
        <v>0</v>
      </c>
      <c r="V12" s="182">
        <v>0</v>
      </c>
      <c r="W12" s="182">
        <v>0</v>
      </c>
      <c r="X12" s="182">
        <v>0</v>
      </c>
      <c r="Y12" s="152">
        <v>95850</v>
      </c>
      <c r="Z12" s="152">
        <v>0</v>
      </c>
      <c r="AA12" s="152">
        <v>0</v>
      </c>
      <c r="AB12" s="152">
        <v>0</v>
      </c>
      <c r="AC12" s="33"/>
      <c r="AD12" s="33"/>
      <c r="AE12" s="33"/>
      <c r="AF12" s="33"/>
      <c r="AG12" s="264"/>
      <c r="AH12" s="264"/>
      <c r="AI12" s="264"/>
      <c r="AJ12" s="264"/>
      <c r="AK12" s="152"/>
      <c r="AL12" s="152"/>
      <c r="AM12" s="152"/>
      <c r="AN12" s="152"/>
      <c r="AO12" s="182"/>
      <c r="AP12" s="182"/>
      <c r="AQ12" s="182"/>
      <c r="AR12" s="182"/>
      <c r="AS12" s="152"/>
      <c r="AT12" s="152"/>
      <c r="AU12" s="152"/>
      <c r="AV12" s="152"/>
      <c r="AW12" s="33"/>
      <c r="AX12" s="33"/>
      <c r="AY12" s="33"/>
      <c r="AZ12" s="33"/>
    </row>
    <row r="13" spans="1:52" ht="34.5" customHeight="1">
      <c r="A13" s="269"/>
      <c r="B13" s="249">
        <v>7</v>
      </c>
      <c r="C13" s="258" t="s">
        <v>411</v>
      </c>
      <c r="D13" s="259" t="s">
        <v>400</v>
      </c>
      <c r="E13" s="260" t="s">
        <v>412</v>
      </c>
      <c r="F13" s="261">
        <f>G13+H13+I13+J13+K13</f>
        <v>264326</v>
      </c>
      <c r="G13" s="32">
        <v>4026</v>
      </c>
      <c r="H13" s="32">
        <v>8000</v>
      </c>
      <c r="I13" s="32">
        <v>10000</v>
      </c>
      <c r="J13" s="32">
        <v>0</v>
      </c>
      <c r="K13" s="32">
        <v>242300</v>
      </c>
      <c r="L13" s="32"/>
      <c r="M13" s="32"/>
      <c r="N13" s="32"/>
      <c r="O13" s="32"/>
      <c r="P13" s="32"/>
      <c r="Q13" s="263">
        <v>8000</v>
      </c>
      <c r="R13" s="263">
        <v>0</v>
      </c>
      <c r="S13" s="263">
        <v>0</v>
      </c>
      <c r="T13" s="263">
        <v>0</v>
      </c>
      <c r="U13" s="182">
        <v>10000</v>
      </c>
      <c r="V13" s="182">
        <v>0</v>
      </c>
      <c r="W13" s="182">
        <v>0</v>
      </c>
      <c r="X13" s="182">
        <v>0</v>
      </c>
      <c r="Y13" s="152">
        <v>0</v>
      </c>
      <c r="Z13" s="152">
        <v>0</v>
      </c>
      <c r="AA13" s="152">
        <v>0</v>
      </c>
      <c r="AB13" s="152">
        <v>0</v>
      </c>
      <c r="AC13" s="33"/>
      <c r="AD13" s="33"/>
      <c r="AE13" s="33"/>
      <c r="AF13" s="33"/>
      <c r="AG13" s="264"/>
      <c r="AH13" s="264"/>
      <c r="AI13" s="264"/>
      <c r="AJ13" s="264"/>
      <c r="AK13" s="152"/>
      <c r="AL13" s="152"/>
      <c r="AM13" s="152"/>
      <c r="AN13" s="152"/>
      <c r="AO13" s="182"/>
      <c r="AP13" s="182"/>
      <c r="AQ13" s="182"/>
      <c r="AR13" s="182"/>
      <c r="AS13" s="152"/>
      <c r="AT13" s="152"/>
      <c r="AU13" s="152"/>
      <c r="AV13" s="152"/>
      <c r="AW13" s="33"/>
      <c r="AX13" s="33"/>
      <c r="AY13" s="33"/>
      <c r="AZ13" s="33"/>
    </row>
    <row r="14" spans="2:52" ht="34.5" customHeight="1">
      <c r="B14" s="249">
        <v>8</v>
      </c>
      <c r="C14" s="258" t="s">
        <v>413</v>
      </c>
      <c r="D14" s="259" t="s">
        <v>400</v>
      </c>
      <c r="E14" s="260" t="s">
        <v>414</v>
      </c>
      <c r="F14" s="261">
        <v>1800000</v>
      </c>
      <c r="G14" s="32">
        <v>2453</v>
      </c>
      <c r="H14" s="32">
        <v>35000</v>
      </c>
      <c r="I14" s="34">
        <v>800000</v>
      </c>
      <c r="J14" s="34">
        <v>0</v>
      </c>
      <c r="K14" s="152"/>
      <c r="L14" s="152"/>
      <c r="M14" s="152"/>
      <c r="N14" s="152"/>
      <c r="O14" s="152"/>
      <c r="P14" s="152"/>
      <c r="Q14" s="263">
        <v>35000</v>
      </c>
      <c r="R14" s="263">
        <v>0</v>
      </c>
      <c r="S14" s="263">
        <v>0</v>
      </c>
      <c r="T14" s="263">
        <v>0</v>
      </c>
      <c r="U14" s="182">
        <v>400000</v>
      </c>
      <c r="V14" s="182">
        <v>0</v>
      </c>
      <c r="W14" s="182">
        <v>0</v>
      </c>
      <c r="X14" s="182">
        <v>400000</v>
      </c>
      <c r="Y14" s="152">
        <v>0</v>
      </c>
      <c r="Z14" s="152">
        <v>0</v>
      </c>
      <c r="AA14" s="152">
        <v>0</v>
      </c>
      <c r="AB14" s="152">
        <v>0</v>
      </c>
      <c r="AC14" s="33"/>
      <c r="AD14" s="33"/>
      <c r="AE14" s="33"/>
      <c r="AF14" s="33"/>
      <c r="AG14" s="264"/>
      <c r="AH14" s="264"/>
      <c r="AI14" s="264"/>
      <c r="AJ14" s="264"/>
      <c r="AK14" s="152"/>
      <c r="AL14" s="152"/>
      <c r="AM14" s="152"/>
      <c r="AN14" s="152"/>
      <c r="AO14" s="182"/>
      <c r="AP14" s="182"/>
      <c r="AQ14" s="182"/>
      <c r="AR14" s="182"/>
      <c r="AS14" s="152"/>
      <c r="AT14" s="152"/>
      <c r="AU14" s="152"/>
      <c r="AV14" s="152"/>
      <c r="AW14" s="33"/>
      <c r="AX14" s="33"/>
      <c r="AY14" s="33"/>
      <c r="AZ14" s="33"/>
    </row>
    <row r="15" spans="2:52" ht="34.5" customHeight="1">
      <c r="B15" s="249">
        <v>9</v>
      </c>
      <c r="C15" s="258" t="s">
        <v>415</v>
      </c>
      <c r="D15" s="259" t="s">
        <v>400</v>
      </c>
      <c r="E15" s="260" t="s">
        <v>416</v>
      </c>
      <c r="F15" s="261">
        <f aca="true" t="shared" si="0" ref="F15:F21">G15+H15+I15+J15+K15+L15+M15+N15+O15+P15</f>
        <v>16160000</v>
      </c>
      <c r="G15" s="32">
        <v>0</v>
      </c>
      <c r="H15" s="32">
        <v>0</v>
      </c>
      <c r="I15" s="32">
        <v>0</v>
      </c>
      <c r="J15" s="32">
        <v>160000</v>
      </c>
      <c r="K15" s="32">
        <v>3900000</v>
      </c>
      <c r="L15" s="32">
        <v>1200000</v>
      </c>
      <c r="M15" s="32">
        <v>5450000</v>
      </c>
      <c r="N15" s="32">
        <v>5450000</v>
      </c>
      <c r="O15" s="32">
        <v>0</v>
      </c>
      <c r="P15" s="32">
        <v>0</v>
      </c>
      <c r="Q15" s="263">
        <v>0</v>
      </c>
      <c r="R15" s="263">
        <v>0</v>
      </c>
      <c r="S15" s="263">
        <v>0</v>
      </c>
      <c r="T15" s="263">
        <v>0</v>
      </c>
      <c r="U15" s="182">
        <v>0</v>
      </c>
      <c r="V15" s="182">
        <v>0</v>
      </c>
      <c r="W15" s="182">
        <v>0</v>
      </c>
      <c r="X15" s="182">
        <v>0</v>
      </c>
      <c r="Y15" s="152">
        <v>160000</v>
      </c>
      <c r="Z15" s="152">
        <v>0</v>
      </c>
      <c r="AA15" s="152">
        <v>0</v>
      </c>
      <c r="AB15" s="152">
        <v>0</v>
      </c>
      <c r="AC15" s="33"/>
      <c r="AD15" s="33"/>
      <c r="AE15" s="33"/>
      <c r="AF15" s="33"/>
      <c r="AG15" s="264"/>
      <c r="AH15" s="264"/>
      <c r="AI15" s="264"/>
      <c r="AJ15" s="264"/>
      <c r="AK15" s="152"/>
      <c r="AL15" s="152"/>
      <c r="AM15" s="152"/>
      <c r="AN15" s="152"/>
      <c r="AO15" s="182"/>
      <c r="AP15" s="182"/>
      <c r="AQ15" s="182"/>
      <c r="AR15" s="182"/>
      <c r="AS15" s="152"/>
      <c r="AT15" s="152"/>
      <c r="AU15" s="152"/>
      <c r="AV15" s="152"/>
      <c r="AW15" s="33"/>
      <c r="AX15" s="33"/>
      <c r="AY15" s="33"/>
      <c r="AZ15" s="33"/>
    </row>
    <row r="16" spans="2:52" ht="34.5" customHeight="1">
      <c r="B16" s="249">
        <v>10</v>
      </c>
      <c r="C16" s="258" t="s">
        <v>417</v>
      </c>
      <c r="D16" s="259" t="s">
        <v>400</v>
      </c>
      <c r="E16" s="260" t="s">
        <v>418</v>
      </c>
      <c r="F16" s="261">
        <v>3170000</v>
      </c>
      <c r="G16" s="32">
        <v>0</v>
      </c>
      <c r="H16" s="32">
        <v>0</v>
      </c>
      <c r="I16" s="32">
        <v>150000</v>
      </c>
      <c r="J16" s="32">
        <v>0</v>
      </c>
      <c r="K16" s="32"/>
      <c r="L16" s="32"/>
      <c r="M16" s="32"/>
      <c r="N16" s="32"/>
      <c r="O16" s="32"/>
      <c r="P16" s="32"/>
      <c r="Q16" s="263">
        <v>0</v>
      </c>
      <c r="R16" s="263">
        <v>0</v>
      </c>
      <c r="S16" s="263">
        <v>0</v>
      </c>
      <c r="T16" s="263">
        <v>0</v>
      </c>
      <c r="U16" s="182">
        <v>150000</v>
      </c>
      <c r="V16" s="182">
        <v>0</v>
      </c>
      <c r="W16" s="182">
        <v>0</v>
      </c>
      <c r="X16" s="182">
        <v>0</v>
      </c>
      <c r="Y16" s="152">
        <v>0</v>
      </c>
      <c r="Z16" s="152">
        <v>0</v>
      </c>
      <c r="AA16" s="152">
        <v>0</v>
      </c>
      <c r="AB16" s="152">
        <v>0</v>
      </c>
      <c r="AC16" s="33"/>
      <c r="AD16" s="33"/>
      <c r="AE16" s="33"/>
      <c r="AF16" s="33"/>
      <c r="AG16" s="264"/>
      <c r="AH16" s="264"/>
      <c r="AI16" s="264"/>
      <c r="AJ16" s="264"/>
      <c r="AK16" s="152"/>
      <c r="AL16" s="152"/>
      <c r="AM16" s="152"/>
      <c r="AN16" s="152"/>
      <c r="AO16" s="182"/>
      <c r="AP16" s="182"/>
      <c r="AQ16" s="182"/>
      <c r="AR16" s="182"/>
      <c r="AS16" s="152"/>
      <c r="AT16" s="152"/>
      <c r="AU16" s="152"/>
      <c r="AV16" s="152"/>
      <c r="AW16" s="33"/>
      <c r="AX16" s="33"/>
      <c r="AY16" s="33"/>
      <c r="AZ16" s="33"/>
    </row>
    <row r="17" spans="2:52" ht="39.75" customHeight="1">
      <c r="B17" s="147">
        <f>B16+1</f>
        <v>11</v>
      </c>
      <c r="C17" s="23" t="s">
        <v>419</v>
      </c>
      <c r="D17" s="259" t="s">
        <v>400</v>
      </c>
      <c r="E17" s="260" t="s">
        <v>420</v>
      </c>
      <c r="F17" s="261">
        <f t="shared" si="0"/>
        <v>1645000</v>
      </c>
      <c r="G17" s="32"/>
      <c r="H17" s="32"/>
      <c r="I17" s="32">
        <v>65000</v>
      </c>
      <c r="J17" s="32">
        <v>80000</v>
      </c>
      <c r="K17" s="32">
        <v>660000</v>
      </c>
      <c r="L17" s="32">
        <v>750000</v>
      </c>
      <c r="M17" s="32">
        <v>90000</v>
      </c>
      <c r="N17" s="32">
        <v>0</v>
      </c>
      <c r="O17" s="32">
        <v>0</v>
      </c>
      <c r="P17" s="32">
        <v>0</v>
      </c>
      <c r="Q17" s="263">
        <v>0</v>
      </c>
      <c r="R17" s="263">
        <v>0</v>
      </c>
      <c r="S17" s="263">
        <v>0</v>
      </c>
      <c r="T17" s="263">
        <v>0</v>
      </c>
      <c r="U17" s="182">
        <v>26000</v>
      </c>
      <c r="V17" s="182">
        <v>0</v>
      </c>
      <c r="W17" s="182">
        <v>0</v>
      </c>
      <c r="X17" s="182">
        <v>39000</v>
      </c>
      <c r="Y17" s="152">
        <v>32000</v>
      </c>
      <c r="Z17" s="152">
        <v>0</v>
      </c>
      <c r="AA17" s="152">
        <v>0</v>
      </c>
      <c r="AB17" s="152">
        <v>48000</v>
      </c>
      <c r="AC17" s="33"/>
      <c r="AD17" s="33"/>
      <c r="AE17" s="33"/>
      <c r="AF17" s="33"/>
      <c r="AG17" s="264"/>
      <c r="AH17" s="264"/>
      <c r="AI17" s="264"/>
      <c r="AJ17" s="264"/>
      <c r="AK17" s="152"/>
      <c r="AL17" s="152"/>
      <c r="AM17" s="152"/>
      <c r="AN17" s="152"/>
      <c r="AO17" s="182"/>
      <c r="AP17" s="182"/>
      <c r="AQ17" s="182"/>
      <c r="AR17" s="182"/>
      <c r="AS17" s="152"/>
      <c r="AT17" s="152"/>
      <c r="AU17" s="152"/>
      <c r="AV17" s="152"/>
      <c r="AW17" s="33"/>
      <c r="AX17" s="33"/>
      <c r="AY17" s="33"/>
      <c r="AZ17" s="33"/>
    </row>
    <row r="18" spans="2:52" ht="34.5" customHeight="1">
      <c r="B18" s="147">
        <f>B17+1</f>
        <v>12</v>
      </c>
      <c r="C18" s="270" t="s">
        <v>421</v>
      </c>
      <c r="D18" s="259" t="s">
        <v>400</v>
      </c>
      <c r="E18" s="260" t="s">
        <v>422</v>
      </c>
      <c r="F18" s="261">
        <f t="shared" si="0"/>
        <v>9400000</v>
      </c>
      <c r="G18" s="32"/>
      <c r="H18" s="32">
        <v>151000</v>
      </c>
      <c r="I18" s="32">
        <v>30000</v>
      </c>
      <c r="J18" s="32">
        <f>1710000-H18</f>
        <v>1559000</v>
      </c>
      <c r="K18" s="32">
        <v>760000</v>
      </c>
      <c r="L18" s="32">
        <v>2280000</v>
      </c>
      <c r="M18" s="32">
        <v>1900000</v>
      </c>
      <c r="N18" s="32">
        <v>1280000</v>
      </c>
      <c r="O18" s="32">
        <v>800000</v>
      </c>
      <c r="P18" s="32">
        <v>640000</v>
      </c>
      <c r="Q18" s="263">
        <v>54700</v>
      </c>
      <c r="R18" s="263"/>
      <c r="S18" s="263"/>
      <c r="T18" s="263">
        <v>96300</v>
      </c>
      <c r="U18" s="182">
        <v>30000</v>
      </c>
      <c r="V18" s="182">
        <v>0</v>
      </c>
      <c r="W18" s="182">
        <v>0</v>
      </c>
      <c r="X18" s="182">
        <v>0</v>
      </c>
      <c r="Y18" s="152">
        <v>779500</v>
      </c>
      <c r="Z18" s="152">
        <v>0</v>
      </c>
      <c r="AA18" s="152">
        <v>0</v>
      </c>
      <c r="AB18" s="152">
        <v>779500</v>
      </c>
      <c r="AC18" s="33"/>
      <c r="AD18" s="33"/>
      <c r="AE18" s="33"/>
      <c r="AF18" s="33"/>
      <c r="AG18" s="264"/>
      <c r="AH18" s="264"/>
      <c r="AI18" s="264"/>
      <c r="AJ18" s="264"/>
      <c r="AK18" s="152"/>
      <c r="AL18" s="152"/>
      <c r="AM18" s="152"/>
      <c r="AN18" s="152"/>
      <c r="AO18" s="182"/>
      <c r="AP18" s="182"/>
      <c r="AQ18" s="182"/>
      <c r="AR18" s="182"/>
      <c r="AS18" s="152"/>
      <c r="AT18" s="152"/>
      <c r="AU18" s="152"/>
      <c r="AV18" s="152"/>
      <c r="AW18" s="33"/>
      <c r="AX18" s="33"/>
      <c r="AY18" s="33"/>
      <c r="AZ18" s="33"/>
    </row>
    <row r="19" spans="2:52" ht="34.5" customHeight="1">
      <c r="B19" s="147">
        <f>B18+1</f>
        <v>13</v>
      </c>
      <c r="C19" s="23" t="s">
        <v>423</v>
      </c>
      <c r="D19" s="259" t="s">
        <v>400</v>
      </c>
      <c r="E19" s="260" t="s">
        <v>424</v>
      </c>
      <c r="F19" s="261">
        <f t="shared" si="0"/>
        <v>1772000</v>
      </c>
      <c r="G19" s="32"/>
      <c r="H19" s="119"/>
      <c r="I19" s="32">
        <f>464000+407000</f>
        <v>871000</v>
      </c>
      <c r="J19" s="32">
        <v>234000</v>
      </c>
      <c r="K19" s="32">
        <v>238000</v>
      </c>
      <c r="L19" s="32">
        <v>429000</v>
      </c>
      <c r="M19" s="32">
        <v>0</v>
      </c>
      <c r="N19" s="32">
        <v>0</v>
      </c>
      <c r="O19" s="32">
        <v>0</v>
      </c>
      <c r="P19" s="32">
        <v>0</v>
      </c>
      <c r="Q19" s="263">
        <v>0</v>
      </c>
      <c r="R19" s="263">
        <v>0</v>
      </c>
      <c r="S19" s="263">
        <v>0</v>
      </c>
      <c r="T19" s="263">
        <v>0</v>
      </c>
      <c r="U19" s="182">
        <f>348500+380000</f>
        <v>728500</v>
      </c>
      <c r="V19" s="182">
        <v>0</v>
      </c>
      <c r="W19" s="182">
        <v>0</v>
      </c>
      <c r="X19" s="182">
        <f>58500+84000</f>
        <v>142500</v>
      </c>
      <c r="Y19" s="152">
        <v>200000</v>
      </c>
      <c r="Z19" s="152">
        <v>0</v>
      </c>
      <c r="AA19" s="152">
        <v>0</v>
      </c>
      <c r="AB19" s="152">
        <v>34000</v>
      </c>
      <c r="AC19" s="33"/>
      <c r="AD19" s="33"/>
      <c r="AE19" s="33"/>
      <c r="AF19" s="33"/>
      <c r="AG19" s="264"/>
      <c r="AH19" s="264"/>
      <c r="AI19" s="264"/>
      <c r="AJ19" s="264"/>
      <c r="AK19" s="152"/>
      <c r="AL19" s="152"/>
      <c r="AM19" s="152"/>
      <c r="AN19" s="152"/>
      <c r="AO19" s="182"/>
      <c r="AP19" s="182"/>
      <c r="AQ19" s="182"/>
      <c r="AR19" s="182"/>
      <c r="AS19" s="152"/>
      <c r="AT19" s="152"/>
      <c r="AU19" s="152"/>
      <c r="AV19" s="152"/>
      <c r="AW19" s="33"/>
      <c r="AX19" s="33"/>
      <c r="AY19" s="33"/>
      <c r="AZ19" s="33"/>
    </row>
    <row r="20" spans="2:52" ht="39.75" customHeight="1">
      <c r="B20" s="147">
        <f>B19+1</f>
        <v>14</v>
      </c>
      <c r="C20" s="271" t="s">
        <v>425</v>
      </c>
      <c r="D20" s="259" t="s">
        <v>400</v>
      </c>
      <c r="E20" s="260" t="s">
        <v>426</v>
      </c>
      <c r="F20" s="261">
        <f t="shared" si="0"/>
        <v>1200000</v>
      </c>
      <c r="G20" s="32">
        <v>1121.91</v>
      </c>
      <c r="H20" s="32">
        <v>15343</v>
      </c>
      <c r="I20" s="34">
        <v>0</v>
      </c>
      <c r="J20" s="34">
        <v>0</v>
      </c>
      <c r="K20" s="152"/>
      <c r="L20" s="152"/>
      <c r="M20" s="152"/>
      <c r="N20" s="152"/>
      <c r="O20" s="152"/>
      <c r="P20" s="152">
        <f>1200000-G20-H20</f>
        <v>1183535.09</v>
      </c>
      <c r="Q20" s="263">
        <v>15343</v>
      </c>
      <c r="R20" s="263">
        <v>0</v>
      </c>
      <c r="S20" s="263">
        <v>0</v>
      </c>
      <c r="T20" s="263">
        <v>0</v>
      </c>
      <c r="U20" s="182">
        <v>0</v>
      </c>
      <c r="V20" s="182">
        <v>0</v>
      </c>
      <c r="W20" s="182">
        <v>0</v>
      </c>
      <c r="X20" s="182">
        <v>0</v>
      </c>
      <c r="Y20" s="152">
        <v>0</v>
      </c>
      <c r="Z20" s="152">
        <v>0</v>
      </c>
      <c r="AA20" s="152">
        <v>0</v>
      </c>
      <c r="AB20" s="152">
        <v>0</v>
      </c>
      <c r="AC20" s="33"/>
      <c r="AD20" s="33"/>
      <c r="AE20" s="33"/>
      <c r="AF20" s="33"/>
      <c r="AG20" s="264"/>
      <c r="AH20" s="264"/>
      <c r="AI20" s="264"/>
      <c r="AJ20" s="264"/>
      <c r="AK20" s="152"/>
      <c r="AL20" s="152"/>
      <c r="AM20" s="152"/>
      <c r="AN20" s="152"/>
      <c r="AO20" s="182"/>
      <c r="AP20" s="182"/>
      <c r="AQ20" s="182"/>
      <c r="AR20" s="182"/>
      <c r="AS20" s="152"/>
      <c r="AT20" s="152"/>
      <c r="AU20" s="152"/>
      <c r="AV20" s="152"/>
      <c r="AW20" s="33"/>
      <c r="AX20" s="33"/>
      <c r="AY20" s="33"/>
      <c r="AZ20" s="33"/>
    </row>
    <row r="21" spans="2:52" ht="34.5" customHeight="1">
      <c r="B21" s="147">
        <f>B20+1</f>
        <v>15</v>
      </c>
      <c r="C21" s="271" t="s">
        <v>427</v>
      </c>
      <c r="D21" s="259" t="s">
        <v>400</v>
      </c>
      <c r="E21" s="260" t="s">
        <v>428</v>
      </c>
      <c r="F21" s="261">
        <f t="shared" si="0"/>
        <v>880000</v>
      </c>
      <c r="G21" s="32"/>
      <c r="H21" s="32">
        <v>0</v>
      </c>
      <c r="I21" s="32">
        <v>130000</v>
      </c>
      <c r="J21" s="32">
        <v>230000</v>
      </c>
      <c r="K21" s="32">
        <v>130000</v>
      </c>
      <c r="L21" s="32">
        <v>130000</v>
      </c>
      <c r="M21" s="32">
        <v>130000</v>
      </c>
      <c r="N21" s="32">
        <v>130000</v>
      </c>
      <c r="O21" s="32"/>
      <c r="P21" s="32"/>
      <c r="Q21" s="263">
        <v>0</v>
      </c>
      <c r="R21" s="263">
        <v>0</v>
      </c>
      <c r="S21" s="263">
        <v>0</v>
      </c>
      <c r="T21" s="263">
        <v>0</v>
      </c>
      <c r="U21" s="182">
        <v>32500</v>
      </c>
      <c r="V21" s="182">
        <v>0</v>
      </c>
      <c r="W21" s="182">
        <v>0</v>
      </c>
      <c r="X21" s="182">
        <v>97500</v>
      </c>
      <c r="Y21" s="152">
        <v>57500</v>
      </c>
      <c r="Z21" s="152">
        <v>0</v>
      </c>
      <c r="AA21" s="152">
        <v>0</v>
      </c>
      <c r="AB21" s="152">
        <v>172500</v>
      </c>
      <c r="AC21" s="33"/>
      <c r="AD21" s="33"/>
      <c r="AE21" s="33"/>
      <c r="AF21" s="33"/>
      <c r="AG21" s="264"/>
      <c r="AH21" s="264"/>
      <c r="AI21" s="264"/>
      <c r="AJ21" s="264"/>
      <c r="AK21" s="152"/>
      <c r="AL21" s="152"/>
      <c r="AM21" s="152"/>
      <c r="AN21" s="152"/>
      <c r="AO21" s="182"/>
      <c r="AP21" s="182"/>
      <c r="AQ21" s="182"/>
      <c r="AR21" s="182"/>
      <c r="AS21" s="152"/>
      <c r="AT21" s="152"/>
      <c r="AU21" s="152"/>
      <c r="AV21" s="152"/>
      <c r="AW21" s="33"/>
      <c r="AX21" s="33"/>
      <c r="AY21" s="33"/>
      <c r="AZ21" s="33"/>
    </row>
    <row r="22" spans="2:52" ht="34.5" customHeight="1">
      <c r="B22" s="272"/>
      <c r="C22" s="273"/>
      <c r="D22" s="274"/>
      <c r="E22" s="275"/>
      <c r="F22" s="276">
        <f>SUM(F7:F21)</f>
        <v>56452311.93</v>
      </c>
      <c r="G22" s="276">
        <f aca="true" t="shared" si="1" ref="G22:AZ22">SUM(G7:G21)</f>
        <v>202592.01</v>
      </c>
      <c r="H22" s="276">
        <f t="shared" si="1"/>
        <v>8174939.04</v>
      </c>
      <c r="I22" s="276">
        <f t="shared" si="1"/>
        <v>7768968.79</v>
      </c>
      <c r="J22" s="276">
        <f t="shared" si="1"/>
        <v>6772624</v>
      </c>
      <c r="K22" s="276">
        <f t="shared" si="1"/>
        <v>6330300</v>
      </c>
      <c r="L22" s="276">
        <f t="shared" si="1"/>
        <v>5719342</v>
      </c>
      <c r="M22" s="276">
        <f t="shared" si="1"/>
        <v>8017464</v>
      </c>
      <c r="N22" s="276">
        <f t="shared" si="1"/>
        <v>6860000</v>
      </c>
      <c r="O22" s="276">
        <f t="shared" si="1"/>
        <v>800000</v>
      </c>
      <c r="P22" s="276">
        <f t="shared" si="1"/>
        <v>1823535.09</v>
      </c>
      <c r="Q22" s="276">
        <f t="shared" si="1"/>
        <v>1900820.3200000003</v>
      </c>
      <c r="R22" s="276">
        <f t="shared" si="1"/>
        <v>5302781.22</v>
      </c>
      <c r="S22" s="276">
        <f t="shared" si="1"/>
        <v>0</v>
      </c>
      <c r="T22" s="276">
        <f t="shared" si="1"/>
        <v>971337.5</v>
      </c>
      <c r="U22" s="276">
        <f t="shared" si="1"/>
        <v>4603613.42</v>
      </c>
      <c r="V22" s="276">
        <f t="shared" si="1"/>
        <v>1721492.09</v>
      </c>
      <c r="W22" s="276">
        <f t="shared" si="1"/>
        <v>0</v>
      </c>
      <c r="X22" s="276">
        <f t="shared" si="1"/>
        <v>1443863.28</v>
      </c>
      <c r="Y22" s="276">
        <f t="shared" si="1"/>
        <v>3769846</v>
      </c>
      <c r="Z22" s="276">
        <f t="shared" si="1"/>
        <v>0</v>
      </c>
      <c r="AA22" s="276">
        <f t="shared" si="1"/>
        <v>0</v>
      </c>
      <c r="AB22" s="276">
        <f t="shared" si="1"/>
        <v>3002778</v>
      </c>
      <c r="AC22" s="276">
        <f t="shared" si="1"/>
        <v>0</v>
      </c>
      <c r="AD22" s="276">
        <f t="shared" si="1"/>
        <v>0</v>
      </c>
      <c r="AE22" s="276">
        <f t="shared" si="1"/>
        <v>0</v>
      </c>
      <c r="AF22" s="276">
        <f t="shared" si="1"/>
        <v>0</v>
      </c>
      <c r="AG22" s="276">
        <f t="shared" si="1"/>
        <v>0</v>
      </c>
      <c r="AH22" s="276">
        <f t="shared" si="1"/>
        <v>0</v>
      </c>
      <c r="AI22" s="276">
        <f t="shared" si="1"/>
        <v>0</v>
      </c>
      <c r="AJ22" s="276">
        <f t="shared" si="1"/>
        <v>0</v>
      </c>
      <c r="AK22" s="276">
        <f t="shared" si="1"/>
        <v>0</v>
      </c>
      <c r="AL22" s="276">
        <f t="shared" si="1"/>
        <v>0</v>
      </c>
      <c r="AM22" s="276">
        <f t="shared" si="1"/>
        <v>0</v>
      </c>
      <c r="AN22" s="276">
        <f t="shared" si="1"/>
        <v>0</v>
      </c>
      <c r="AO22" s="276">
        <f t="shared" si="1"/>
        <v>0</v>
      </c>
      <c r="AP22" s="276">
        <f t="shared" si="1"/>
        <v>0</v>
      </c>
      <c r="AQ22" s="276">
        <f t="shared" si="1"/>
        <v>0</v>
      </c>
      <c r="AR22" s="276">
        <f t="shared" si="1"/>
        <v>0</v>
      </c>
      <c r="AS22" s="276">
        <f t="shared" si="1"/>
        <v>0</v>
      </c>
      <c r="AT22" s="276">
        <f t="shared" si="1"/>
        <v>0</v>
      </c>
      <c r="AU22" s="276">
        <f t="shared" si="1"/>
        <v>0</v>
      </c>
      <c r="AV22" s="276">
        <f t="shared" si="1"/>
        <v>0</v>
      </c>
      <c r="AW22" s="276">
        <f t="shared" si="1"/>
        <v>0</v>
      </c>
      <c r="AX22" s="276">
        <f t="shared" si="1"/>
        <v>0</v>
      </c>
      <c r="AY22" s="276">
        <f t="shared" si="1"/>
        <v>0</v>
      </c>
      <c r="AZ22" s="276">
        <f t="shared" si="1"/>
        <v>0</v>
      </c>
    </row>
  </sheetData>
  <mergeCells count="25">
    <mergeCell ref="AO4:AR4"/>
    <mergeCell ref="AA1:AF1"/>
    <mergeCell ref="B3:B6"/>
    <mergeCell ref="C3:C6"/>
    <mergeCell ref="D3:D6"/>
    <mergeCell ref="E3:E6"/>
    <mergeCell ref="F3:I3"/>
    <mergeCell ref="Q3:AB3"/>
    <mergeCell ref="F4:F6"/>
    <mergeCell ref="Q4:T4"/>
    <mergeCell ref="O5:O6"/>
    <mergeCell ref="AC4:AF4"/>
    <mergeCell ref="AG4:AJ4"/>
    <mergeCell ref="AK4:AN4"/>
    <mergeCell ref="Y4:AB4"/>
    <mergeCell ref="P5:P6"/>
    <mergeCell ref="AS4:AV4"/>
    <mergeCell ref="AW4:AZ4"/>
    <mergeCell ref="H5:H6"/>
    <mergeCell ref="I5:I6"/>
    <mergeCell ref="J5:J6"/>
    <mergeCell ref="K5:K6"/>
    <mergeCell ref="L5:L6"/>
    <mergeCell ref="M5:M6"/>
    <mergeCell ref="N5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Małgorzata Jaworska</cp:lastModifiedBy>
  <dcterms:created xsi:type="dcterms:W3CDTF">2004-12-20T12:27:50Z</dcterms:created>
  <dcterms:modified xsi:type="dcterms:W3CDTF">2004-12-27T11:23:11Z</dcterms:modified>
  <cp:category/>
  <cp:version/>
  <cp:contentType/>
  <cp:contentStatus/>
</cp:coreProperties>
</file>